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C:\Users\t-kokubo\Desktop\R6処遇改善加算\"/>
    </mc:Choice>
  </mc:AlternateContent>
  <xr:revisionPtr revIDLastSave="0" documentId="8_{D19DE228-BDF4-4D06-8792-93DAE06D18A2}" xr6:coauthVersionLast="36" xr6:coauthVersionMax="36" xr10:uidLastSave="{00000000-0000-0000-0000-000000000000}"/>
  <bookViews>
    <workbookView xWindow="0" yWindow="0" windowWidth="28800" windowHeight="12135"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57" i="38" l="1"/>
  <c r="BA48" i="46" l="1"/>
  <c r="BA48" i="45"/>
  <c r="BA48" i="44"/>
  <c r="BA48" i="43"/>
  <c r="BA48" i="42"/>
  <c r="BA48" i="39"/>
  <c r="BA48" i="12"/>
  <c r="BA48" i="40"/>
  <c r="G49" i="40"/>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Z60" i="38" l="1"/>
  <c r="Q10" i="38"/>
  <c r="AC49" i="40"/>
  <c r="AC50" i="40" s="1"/>
  <c r="AP60" i="41"/>
  <c r="AH60" i="41"/>
  <c r="AP62" i="41"/>
  <c r="CI8" i="41" s="1"/>
  <c r="AH62" i="41"/>
  <c r="V12" i="41"/>
  <c r="AP63" i="41"/>
  <c r="AH63" i="41"/>
  <c r="AP57" i="41"/>
  <c r="BA48" i="41" s="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00000000-0006-0000-0000-000001000000}">
      <text>
        <r>
          <rPr>
            <sz val="9"/>
            <color rgb="FF000000"/>
            <rFont val="MS P ゴシック"/>
            <family val="3"/>
            <charset val="128"/>
          </rPr>
          <t>別紙様式６－２に記入した内容に基づき、令和６年度の加算の見込額の合計が自動で表示されます。</t>
        </r>
      </text>
    </comment>
    <comment ref="Q19" authorId="0" shapeId="0" xr:uid="{00000000-0006-0000-0000-00000200000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00000000-0006-0000-0000-00000300000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00000000-0006-0000-0000-00000400000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00000000-0006-0000-0000-00000500000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00000000-0006-0000-0000-00000600000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00000000-0006-0000-0000-00000700000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00000000-0006-0000-0000-00000800000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00000000-0006-0000-0000-00000900000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00000000-0006-0000-0000-00000A00000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00000000-0006-0000-0000-00000B00000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00000000-0006-0000-0000-00000C00000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00000000-0006-0000-0000-00000D00000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00000000-0006-0000-0000-00000E00000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1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1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1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1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1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1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1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1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100-000009000000}">
      <text>
        <r>
          <rPr>
            <sz val="9"/>
            <color rgb="FF000000"/>
            <rFont val="MS P ゴシック"/>
            <family val="3"/>
            <charset val="128"/>
          </rPr>
          <t>４・５月に処遇Ⅰ、６月以降に処遇Ⅰ相当の加算区分を算定する場合は「１」</t>
        </r>
      </text>
    </comment>
    <comment ref="CI6" authorId="0" shapeId="0" xr:uid="{00000000-0006-0000-01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1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1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1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1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100-00000F000000}">
      <text>
        <r>
          <rPr>
            <sz val="9"/>
            <color rgb="FF000000"/>
            <rFont val="MS P ゴシック"/>
            <family val="3"/>
            <charset val="128"/>
          </rPr>
          <t>算定していない場合は、
「特定加算なし」を選択してください。</t>
        </r>
      </text>
    </comment>
    <comment ref="L9" authorId="0" shapeId="0" xr:uid="{00000000-0006-0000-0100-000010000000}">
      <text>
        <r>
          <rPr>
            <sz val="9"/>
            <color rgb="FF000000"/>
            <rFont val="MS P ゴシック"/>
            <family val="3"/>
            <charset val="128"/>
          </rPr>
          <t>算定していない場合は、
「ベア加算なし」を選択してください。</t>
        </r>
      </text>
    </comment>
    <comment ref="CI9" authorId="0" shapeId="0" xr:uid="{00000000-0006-0000-0100-000011000000}">
      <text>
        <r>
          <rPr>
            <sz val="9"/>
            <color rgb="FF000000"/>
            <rFont val="MS P ゴシック"/>
            <family val="3"/>
            <charset val="128"/>
          </rPr>
          <t>キャリアパス要件Ⅴで「満たす」を選択していれば「１」</t>
        </r>
      </text>
    </comment>
    <comment ref="CI10" authorId="0" shapeId="0" xr:uid="{00000000-0006-0000-0100-000012000000}">
      <text>
        <r>
          <rPr>
            <sz val="9"/>
            <color rgb="FF000000"/>
            <rFont val="MS P ゴシック"/>
            <family val="3"/>
            <charset val="128"/>
          </rPr>
          <t>職場環境等要件の上位区分を「満たす」と選択していれば「１」</t>
        </r>
      </text>
    </comment>
    <comment ref="B13" authorId="0" shapeId="0" xr:uid="{00000000-0006-0000-0100-000013000000}">
      <text>
        <r>
          <rPr>
            <sz val="9"/>
            <color rgb="FF000000"/>
            <rFont val="MS P ゴシック"/>
            <family val="3"/>
            <charset val="128"/>
          </rPr>
          <t>令和６年度の算定対象月を記入してください。</t>
        </r>
      </text>
    </comment>
    <comment ref="F15" authorId="0" shapeId="0" xr:uid="{00000000-0006-0000-01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1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1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1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1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100-000019000000}">
      <text>
        <r>
          <rPr>
            <sz val="9"/>
            <color rgb="FF000000"/>
            <rFont val="MS P ゴシック"/>
            <family val="3"/>
            <charset val="128"/>
          </rPr>
          <t>小規模事業者等の特例で満たす場合も含む</t>
        </r>
      </text>
    </comment>
    <comment ref="AG37" authorId="0" shapeId="0" xr:uid="{00000000-0006-0000-01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1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100-00001C000000}">
      <text>
        <r>
          <rPr>
            <sz val="9"/>
            <color rgb="FF000000"/>
            <rFont val="MS P ゴシック"/>
            <family val="3"/>
            <charset val="128"/>
          </rPr>
          <t>「満たす」を選択した場合は、算定する加算の区分等を選択してください。</t>
        </r>
      </text>
    </comment>
    <comment ref="AL41" authorId="0" shapeId="0" xr:uid="{00000000-0006-0000-0100-00001D000000}">
      <text>
        <r>
          <rPr>
            <sz val="9"/>
            <color rgb="FF000000"/>
            <rFont val="MS P ゴシック"/>
            <family val="3"/>
            <charset val="128"/>
          </rPr>
          <t>「満たす」を選択した場合は、算定する加算の区分等を選択してください。</t>
        </r>
      </text>
    </comment>
    <comment ref="B47" authorId="0" shapeId="0" xr:uid="{00000000-0006-0000-01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2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2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2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2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2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2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2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2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200-000009000000}">
      <text>
        <r>
          <rPr>
            <sz val="9"/>
            <color rgb="FF000000"/>
            <rFont val="MS P ゴシック"/>
            <family val="3"/>
            <charset val="128"/>
          </rPr>
          <t>４・５月に処遇Ⅰ、６月以降に処遇Ⅰ相当の加算区分を算定する場合は「１」</t>
        </r>
      </text>
    </comment>
    <comment ref="CI6" authorId="0" shapeId="0" xr:uid="{00000000-0006-0000-02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2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2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2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2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200-00000F000000}">
      <text>
        <r>
          <rPr>
            <sz val="9"/>
            <color rgb="FF000000"/>
            <rFont val="MS P ゴシック"/>
            <family val="3"/>
            <charset val="128"/>
          </rPr>
          <t>算定していない場合は、
「特定加算なし」を選択してください。</t>
        </r>
      </text>
    </comment>
    <comment ref="L9" authorId="0" shapeId="0" xr:uid="{00000000-0006-0000-0200-000010000000}">
      <text>
        <r>
          <rPr>
            <sz val="9"/>
            <color rgb="FF000000"/>
            <rFont val="MS P ゴシック"/>
            <family val="3"/>
            <charset val="128"/>
          </rPr>
          <t>算定していない場合は、
「ベア加算なし」を選択してください。</t>
        </r>
      </text>
    </comment>
    <comment ref="CI9" authorId="0" shapeId="0" xr:uid="{00000000-0006-0000-0200-000011000000}">
      <text>
        <r>
          <rPr>
            <sz val="9"/>
            <color rgb="FF000000"/>
            <rFont val="MS P ゴシック"/>
            <family val="3"/>
            <charset val="128"/>
          </rPr>
          <t>キャリアパス要件Ⅴで「満たす」を選択していれば「１」</t>
        </r>
      </text>
    </comment>
    <comment ref="CI10" authorId="0" shapeId="0" xr:uid="{00000000-0006-0000-0200-000012000000}">
      <text>
        <r>
          <rPr>
            <sz val="9"/>
            <color rgb="FF000000"/>
            <rFont val="MS P ゴシック"/>
            <family val="3"/>
            <charset val="128"/>
          </rPr>
          <t>職場環境等要件の上位区分を「満たす」と選択していれば「１」</t>
        </r>
      </text>
    </comment>
    <comment ref="B13" authorId="0" shapeId="0" xr:uid="{00000000-0006-0000-0200-000013000000}">
      <text>
        <r>
          <rPr>
            <sz val="9"/>
            <color rgb="FF000000"/>
            <rFont val="MS P ゴシック"/>
            <family val="3"/>
            <charset val="128"/>
          </rPr>
          <t>令和６年度の算定対象月を記入してください。</t>
        </r>
      </text>
    </comment>
    <comment ref="F15" authorId="0" shapeId="0" xr:uid="{00000000-0006-0000-02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2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2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2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2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200-000019000000}">
      <text>
        <r>
          <rPr>
            <sz val="9"/>
            <color rgb="FF000000"/>
            <rFont val="MS P ゴシック"/>
            <family val="3"/>
            <charset val="128"/>
          </rPr>
          <t>小規模事業者等の特例で満たす場合も含む</t>
        </r>
      </text>
    </comment>
    <comment ref="AG37" authorId="0" shapeId="0" xr:uid="{00000000-0006-0000-02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2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200-00001C000000}">
      <text>
        <r>
          <rPr>
            <sz val="9"/>
            <color rgb="FF000000"/>
            <rFont val="MS P ゴシック"/>
            <family val="3"/>
            <charset val="128"/>
          </rPr>
          <t>「満たす」を選択した場合は、算定する加算の区分等を選択してください。</t>
        </r>
      </text>
    </comment>
    <comment ref="AL41" authorId="0" shapeId="0" xr:uid="{00000000-0006-0000-0200-00001D000000}">
      <text>
        <r>
          <rPr>
            <sz val="9"/>
            <color rgb="FF000000"/>
            <rFont val="MS P ゴシック"/>
            <family val="3"/>
            <charset val="128"/>
          </rPr>
          <t>「満たす」を選択した場合は、算定する加算の区分等を選択してください。</t>
        </r>
      </text>
    </comment>
    <comment ref="B47" authorId="0" shapeId="0" xr:uid="{00000000-0006-0000-02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3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3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3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3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3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3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3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3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300-000009000000}">
      <text>
        <r>
          <rPr>
            <sz val="9"/>
            <color rgb="FF000000"/>
            <rFont val="MS P ゴシック"/>
            <family val="3"/>
            <charset val="128"/>
          </rPr>
          <t>４・５月に処遇Ⅰ、６月以降に処遇Ⅰ相当の加算区分を算定する場合は「１」</t>
        </r>
      </text>
    </comment>
    <comment ref="CI6" authorId="0" shapeId="0" xr:uid="{00000000-0006-0000-03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3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3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3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3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300-00000F000000}">
      <text>
        <r>
          <rPr>
            <sz val="9"/>
            <color rgb="FF000000"/>
            <rFont val="MS P ゴシック"/>
            <family val="3"/>
            <charset val="128"/>
          </rPr>
          <t>算定していない場合は、
「特定加算なし」を選択してください。</t>
        </r>
      </text>
    </comment>
    <comment ref="L9" authorId="0" shapeId="0" xr:uid="{00000000-0006-0000-0300-000010000000}">
      <text>
        <r>
          <rPr>
            <sz val="9"/>
            <color rgb="FF000000"/>
            <rFont val="MS P ゴシック"/>
            <family val="3"/>
            <charset val="128"/>
          </rPr>
          <t>算定していない場合は、
「ベア加算なし」を選択してください。</t>
        </r>
      </text>
    </comment>
    <comment ref="CI9" authorId="0" shapeId="0" xr:uid="{00000000-0006-0000-0300-000011000000}">
      <text>
        <r>
          <rPr>
            <sz val="9"/>
            <color rgb="FF000000"/>
            <rFont val="MS P ゴシック"/>
            <family val="3"/>
            <charset val="128"/>
          </rPr>
          <t>キャリアパス要件Ⅴで「満たす」を選択していれば「１」</t>
        </r>
      </text>
    </comment>
    <comment ref="CI10" authorId="0" shapeId="0" xr:uid="{00000000-0006-0000-0300-000012000000}">
      <text>
        <r>
          <rPr>
            <sz val="9"/>
            <color rgb="FF000000"/>
            <rFont val="MS P ゴシック"/>
            <family val="3"/>
            <charset val="128"/>
          </rPr>
          <t>職場環境等要件の上位区分を「満たす」と選択していれば「１」</t>
        </r>
      </text>
    </comment>
    <comment ref="B13" authorId="0" shapeId="0" xr:uid="{00000000-0006-0000-0300-000013000000}">
      <text>
        <r>
          <rPr>
            <sz val="9"/>
            <color rgb="FF000000"/>
            <rFont val="MS P ゴシック"/>
            <family val="3"/>
            <charset val="128"/>
          </rPr>
          <t>令和６年度の算定対象月を記入してください。</t>
        </r>
      </text>
    </comment>
    <comment ref="F15" authorId="0" shapeId="0" xr:uid="{00000000-0006-0000-03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3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3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3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3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300-000019000000}">
      <text>
        <r>
          <rPr>
            <sz val="9"/>
            <color rgb="FF000000"/>
            <rFont val="MS P ゴシック"/>
            <family val="3"/>
            <charset val="128"/>
          </rPr>
          <t>小規模事業者等の特例で満たす場合も含む</t>
        </r>
      </text>
    </comment>
    <comment ref="AG37" authorId="0" shapeId="0" xr:uid="{00000000-0006-0000-03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3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300-00001C000000}">
      <text>
        <r>
          <rPr>
            <sz val="9"/>
            <color rgb="FF000000"/>
            <rFont val="MS P ゴシック"/>
            <family val="3"/>
            <charset val="128"/>
          </rPr>
          <t>「満たす」を選択した場合は、算定する加算の区分等を選択してください。</t>
        </r>
      </text>
    </comment>
    <comment ref="AL41" authorId="0" shapeId="0" xr:uid="{00000000-0006-0000-0300-00001D000000}">
      <text>
        <r>
          <rPr>
            <sz val="9"/>
            <color rgb="FF000000"/>
            <rFont val="MS P ゴシック"/>
            <family val="3"/>
            <charset val="128"/>
          </rPr>
          <t>「満たす」を選択した場合は、算定する加算の区分等を選択してください。</t>
        </r>
      </text>
    </comment>
    <comment ref="B47" authorId="0" shapeId="0" xr:uid="{00000000-0006-0000-03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4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4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4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4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4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4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4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4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400-000009000000}">
      <text>
        <r>
          <rPr>
            <sz val="9"/>
            <color rgb="FF000000"/>
            <rFont val="MS P ゴシック"/>
            <family val="3"/>
            <charset val="128"/>
          </rPr>
          <t>４・５月に処遇Ⅰ、６月以降に処遇Ⅰ相当の加算区分を算定する場合は「１」</t>
        </r>
      </text>
    </comment>
    <comment ref="CI6" authorId="0" shapeId="0" xr:uid="{00000000-0006-0000-04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4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4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4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4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400-00000F000000}">
      <text>
        <r>
          <rPr>
            <sz val="9"/>
            <color rgb="FF000000"/>
            <rFont val="MS P ゴシック"/>
            <family val="3"/>
            <charset val="128"/>
          </rPr>
          <t>算定していない場合は、
「特定加算なし」を選択してください。</t>
        </r>
      </text>
    </comment>
    <comment ref="L9" authorId="0" shapeId="0" xr:uid="{00000000-0006-0000-0400-000010000000}">
      <text>
        <r>
          <rPr>
            <sz val="9"/>
            <color rgb="FF000000"/>
            <rFont val="MS P ゴシック"/>
            <family val="3"/>
            <charset val="128"/>
          </rPr>
          <t>算定していない場合は、
「ベア加算なし」を選択してください。</t>
        </r>
      </text>
    </comment>
    <comment ref="CI9" authorId="0" shapeId="0" xr:uid="{00000000-0006-0000-0400-000011000000}">
      <text>
        <r>
          <rPr>
            <sz val="9"/>
            <color rgb="FF000000"/>
            <rFont val="MS P ゴシック"/>
            <family val="3"/>
            <charset val="128"/>
          </rPr>
          <t>キャリアパス要件Ⅴで「満たす」を選択していれば「１」</t>
        </r>
      </text>
    </comment>
    <comment ref="CI10" authorId="0" shapeId="0" xr:uid="{00000000-0006-0000-0400-000012000000}">
      <text>
        <r>
          <rPr>
            <sz val="9"/>
            <color rgb="FF000000"/>
            <rFont val="MS P ゴシック"/>
            <family val="3"/>
            <charset val="128"/>
          </rPr>
          <t>職場環境等要件の上位区分を「満たす」と選択していれば「１」</t>
        </r>
      </text>
    </comment>
    <comment ref="B13" authorId="0" shapeId="0" xr:uid="{00000000-0006-0000-0400-000013000000}">
      <text>
        <r>
          <rPr>
            <sz val="9"/>
            <color rgb="FF000000"/>
            <rFont val="MS P ゴシック"/>
            <family val="3"/>
            <charset val="128"/>
          </rPr>
          <t>令和６年度の算定対象月を記入してください。</t>
        </r>
      </text>
    </comment>
    <comment ref="F15" authorId="0" shapeId="0" xr:uid="{00000000-0006-0000-04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4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4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4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4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400-000019000000}">
      <text>
        <r>
          <rPr>
            <sz val="9"/>
            <color rgb="FF000000"/>
            <rFont val="MS P ゴシック"/>
            <family val="3"/>
            <charset val="128"/>
          </rPr>
          <t>小規模事業者等の特例で満たす場合も含む</t>
        </r>
      </text>
    </comment>
    <comment ref="AG37" authorId="0" shapeId="0" xr:uid="{00000000-0006-0000-04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4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400-00001C000000}">
      <text>
        <r>
          <rPr>
            <sz val="9"/>
            <color rgb="FF000000"/>
            <rFont val="MS P ゴシック"/>
            <family val="3"/>
            <charset val="128"/>
          </rPr>
          <t>「満たす」を選択した場合は、算定する加算の区分等を選択してください。</t>
        </r>
      </text>
    </comment>
    <comment ref="AL41" authorId="0" shapeId="0" xr:uid="{00000000-0006-0000-0400-00001D000000}">
      <text>
        <r>
          <rPr>
            <sz val="9"/>
            <color rgb="FF000000"/>
            <rFont val="MS P ゴシック"/>
            <family val="3"/>
            <charset val="128"/>
          </rPr>
          <t>「満たす」を選択した場合は、算定する加算の区分等を選択してください。</t>
        </r>
      </text>
    </comment>
    <comment ref="B47" authorId="0" shapeId="0" xr:uid="{00000000-0006-0000-04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5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5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5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5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5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5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5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5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500-000009000000}">
      <text>
        <r>
          <rPr>
            <sz val="9"/>
            <color rgb="FF000000"/>
            <rFont val="MS P ゴシック"/>
            <family val="3"/>
            <charset val="128"/>
          </rPr>
          <t>４・５月に処遇Ⅰ、６月以降に処遇Ⅰ相当の加算区分を算定する場合は「１」</t>
        </r>
      </text>
    </comment>
    <comment ref="CI6" authorId="0" shapeId="0" xr:uid="{00000000-0006-0000-05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5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5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5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5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500-00000F000000}">
      <text>
        <r>
          <rPr>
            <sz val="9"/>
            <color rgb="FF000000"/>
            <rFont val="MS P ゴシック"/>
            <family val="3"/>
            <charset val="128"/>
          </rPr>
          <t>算定していない場合は、
「特定加算なし」を選択してください。</t>
        </r>
      </text>
    </comment>
    <comment ref="L9" authorId="0" shapeId="0" xr:uid="{00000000-0006-0000-0500-000010000000}">
      <text>
        <r>
          <rPr>
            <sz val="9"/>
            <color rgb="FF000000"/>
            <rFont val="MS P ゴシック"/>
            <family val="3"/>
            <charset val="128"/>
          </rPr>
          <t>算定していない場合は、
「ベア加算なし」を選択してください。</t>
        </r>
      </text>
    </comment>
    <comment ref="CI9" authorId="0" shapeId="0" xr:uid="{00000000-0006-0000-0500-000011000000}">
      <text>
        <r>
          <rPr>
            <sz val="9"/>
            <color rgb="FF000000"/>
            <rFont val="MS P ゴシック"/>
            <family val="3"/>
            <charset val="128"/>
          </rPr>
          <t>キャリアパス要件Ⅴで「満たす」を選択していれば「１」</t>
        </r>
      </text>
    </comment>
    <comment ref="CI10" authorId="0" shapeId="0" xr:uid="{00000000-0006-0000-0500-000012000000}">
      <text>
        <r>
          <rPr>
            <sz val="9"/>
            <color rgb="FF000000"/>
            <rFont val="MS P ゴシック"/>
            <family val="3"/>
            <charset val="128"/>
          </rPr>
          <t>職場環境等要件の上位区分を「満たす」と選択していれば「１」</t>
        </r>
      </text>
    </comment>
    <comment ref="B13" authorId="0" shapeId="0" xr:uid="{00000000-0006-0000-0500-000013000000}">
      <text>
        <r>
          <rPr>
            <sz val="9"/>
            <color rgb="FF000000"/>
            <rFont val="MS P ゴシック"/>
            <family val="3"/>
            <charset val="128"/>
          </rPr>
          <t>令和６年度の算定対象月を記入してください。</t>
        </r>
      </text>
    </comment>
    <comment ref="F15" authorId="0" shapeId="0" xr:uid="{00000000-0006-0000-05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5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5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5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5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500-000019000000}">
      <text>
        <r>
          <rPr>
            <sz val="9"/>
            <color rgb="FF000000"/>
            <rFont val="MS P ゴシック"/>
            <family val="3"/>
            <charset val="128"/>
          </rPr>
          <t>小規模事業者等の特例で満たす場合も含む</t>
        </r>
      </text>
    </comment>
    <comment ref="AG37" authorId="0" shapeId="0" xr:uid="{00000000-0006-0000-05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5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500-00001C000000}">
      <text>
        <r>
          <rPr>
            <sz val="9"/>
            <color rgb="FF000000"/>
            <rFont val="MS P ゴシック"/>
            <family val="3"/>
            <charset val="128"/>
          </rPr>
          <t>「満たす」を選択した場合は、算定する加算の区分等を選択してください。</t>
        </r>
      </text>
    </comment>
    <comment ref="AL41" authorId="0" shapeId="0" xr:uid="{00000000-0006-0000-0500-00001D000000}">
      <text>
        <r>
          <rPr>
            <sz val="9"/>
            <color rgb="FF000000"/>
            <rFont val="MS P ゴシック"/>
            <family val="3"/>
            <charset val="128"/>
          </rPr>
          <t>「満たす」を選択した場合は、算定する加算の区分等を選択してください。</t>
        </r>
      </text>
    </comment>
    <comment ref="B47" authorId="0" shapeId="0" xr:uid="{00000000-0006-0000-05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6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6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6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6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6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6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6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6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600-000009000000}">
      <text>
        <r>
          <rPr>
            <sz val="9"/>
            <color rgb="FF000000"/>
            <rFont val="MS P ゴシック"/>
            <family val="3"/>
            <charset val="128"/>
          </rPr>
          <t>４・５月に処遇Ⅰ、６月以降に処遇Ⅰ相当の加算区分を算定する場合は「１」</t>
        </r>
      </text>
    </comment>
    <comment ref="CI6" authorId="0" shapeId="0" xr:uid="{00000000-0006-0000-06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6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6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6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6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600-00000F000000}">
      <text>
        <r>
          <rPr>
            <sz val="9"/>
            <color rgb="FF000000"/>
            <rFont val="MS P ゴシック"/>
            <family val="3"/>
            <charset val="128"/>
          </rPr>
          <t>算定していない場合は、
「特定加算なし」を選択してください。</t>
        </r>
      </text>
    </comment>
    <comment ref="L9" authorId="0" shapeId="0" xr:uid="{00000000-0006-0000-0600-000010000000}">
      <text>
        <r>
          <rPr>
            <sz val="9"/>
            <color rgb="FF000000"/>
            <rFont val="MS P ゴシック"/>
            <family val="3"/>
            <charset val="128"/>
          </rPr>
          <t>算定していない場合は、
「ベア加算なし」を選択してください。</t>
        </r>
      </text>
    </comment>
    <comment ref="CI9" authorId="0" shapeId="0" xr:uid="{00000000-0006-0000-0600-000011000000}">
      <text>
        <r>
          <rPr>
            <sz val="9"/>
            <color rgb="FF000000"/>
            <rFont val="MS P ゴシック"/>
            <family val="3"/>
            <charset val="128"/>
          </rPr>
          <t>キャリアパス要件Ⅴで「満たす」を選択していれば「１」</t>
        </r>
      </text>
    </comment>
    <comment ref="CI10" authorId="0" shapeId="0" xr:uid="{00000000-0006-0000-0600-000012000000}">
      <text>
        <r>
          <rPr>
            <sz val="9"/>
            <color rgb="FF000000"/>
            <rFont val="MS P ゴシック"/>
            <family val="3"/>
            <charset val="128"/>
          </rPr>
          <t>職場環境等要件の上位区分を「満たす」と選択していれば「１」</t>
        </r>
      </text>
    </comment>
    <comment ref="B13" authorId="0" shapeId="0" xr:uid="{00000000-0006-0000-0600-000013000000}">
      <text>
        <r>
          <rPr>
            <sz val="9"/>
            <color rgb="FF000000"/>
            <rFont val="MS P ゴシック"/>
            <family val="3"/>
            <charset val="128"/>
          </rPr>
          <t>令和６年度の算定対象月を記入してください。</t>
        </r>
      </text>
    </comment>
    <comment ref="F15" authorId="0" shapeId="0" xr:uid="{00000000-0006-0000-06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6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6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6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6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600-000019000000}">
      <text>
        <r>
          <rPr>
            <sz val="9"/>
            <color rgb="FF000000"/>
            <rFont val="MS P ゴシック"/>
            <family val="3"/>
            <charset val="128"/>
          </rPr>
          <t>小規模事業者等の特例で満たす場合も含む</t>
        </r>
      </text>
    </comment>
    <comment ref="AG37" authorId="0" shapeId="0" xr:uid="{00000000-0006-0000-06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6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600-00001C000000}">
      <text>
        <r>
          <rPr>
            <sz val="9"/>
            <color rgb="FF000000"/>
            <rFont val="MS P ゴシック"/>
            <family val="3"/>
            <charset val="128"/>
          </rPr>
          <t>「満たす」を選択した場合は、算定する加算の区分等を選択してください。</t>
        </r>
      </text>
    </comment>
    <comment ref="AL41" authorId="0" shapeId="0" xr:uid="{00000000-0006-0000-0600-00001D000000}">
      <text>
        <r>
          <rPr>
            <sz val="9"/>
            <color rgb="FF000000"/>
            <rFont val="MS P ゴシック"/>
            <family val="3"/>
            <charset val="128"/>
          </rPr>
          <t>「満たす」を選択した場合は、算定する加算の区分等を選択してください。</t>
        </r>
      </text>
    </comment>
    <comment ref="B47" authorId="0" shapeId="0" xr:uid="{00000000-0006-0000-06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7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7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7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7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7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7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7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7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700-000009000000}">
      <text>
        <r>
          <rPr>
            <sz val="9"/>
            <color rgb="FF000000"/>
            <rFont val="MS P ゴシック"/>
            <family val="3"/>
            <charset val="128"/>
          </rPr>
          <t>４・５月に処遇Ⅰ、６月以降に処遇Ⅰ相当の加算区分を算定する場合は「１」</t>
        </r>
      </text>
    </comment>
    <comment ref="CI6" authorId="0" shapeId="0" xr:uid="{00000000-0006-0000-07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7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7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7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7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700-00000F000000}">
      <text>
        <r>
          <rPr>
            <sz val="9"/>
            <color rgb="FF000000"/>
            <rFont val="MS P ゴシック"/>
            <family val="3"/>
            <charset val="128"/>
          </rPr>
          <t>算定していない場合は、
「特定加算なし」を選択してください。</t>
        </r>
      </text>
    </comment>
    <comment ref="L9" authorId="0" shapeId="0" xr:uid="{00000000-0006-0000-0700-000010000000}">
      <text>
        <r>
          <rPr>
            <sz val="9"/>
            <color rgb="FF000000"/>
            <rFont val="MS P ゴシック"/>
            <family val="3"/>
            <charset val="128"/>
          </rPr>
          <t>算定していない場合は、
「ベア加算なし」を選択してください。</t>
        </r>
      </text>
    </comment>
    <comment ref="CI9" authorId="0" shapeId="0" xr:uid="{00000000-0006-0000-0700-000011000000}">
      <text>
        <r>
          <rPr>
            <sz val="9"/>
            <color rgb="FF000000"/>
            <rFont val="MS P ゴシック"/>
            <family val="3"/>
            <charset val="128"/>
          </rPr>
          <t>キャリアパス要件Ⅴで「満たす」を選択していれば「１」</t>
        </r>
      </text>
    </comment>
    <comment ref="CI10" authorId="0" shapeId="0" xr:uid="{00000000-0006-0000-0700-000012000000}">
      <text>
        <r>
          <rPr>
            <sz val="9"/>
            <color rgb="FF000000"/>
            <rFont val="MS P ゴシック"/>
            <family val="3"/>
            <charset val="128"/>
          </rPr>
          <t>職場環境等要件の上位区分を「満たす」と選択していれば「１」</t>
        </r>
      </text>
    </comment>
    <comment ref="B13" authorId="0" shapeId="0" xr:uid="{00000000-0006-0000-0700-000013000000}">
      <text>
        <r>
          <rPr>
            <sz val="9"/>
            <color rgb="FF000000"/>
            <rFont val="MS P ゴシック"/>
            <family val="3"/>
            <charset val="128"/>
          </rPr>
          <t>令和６年度の算定対象月を記入してください。</t>
        </r>
      </text>
    </comment>
    <comment ref="F15" authorId="0" shapeId="0" xr:uid="{00000000-0006-0000-07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7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7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7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7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700-000019000000}">
      <text>
        <r>
          <rPr>
            <sz val="9"/>
            <color rgb="FF000000"/>
            <rFont val="MS P ゴシック"/>
            <family val="3"/>
            <charset val="128"/>
          </rPr>
          <t>小規模事業者等の特例で満たす場合も含む</t>
        </r>
      </text>
    </comment>
    <comment ref="AG37" authorId="0" shapeId="0" xr:uid="{00000000-0006-0000-07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7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700-00001C000000}">
      <text>
        <r>
          <rPr>
            <sz val="9"/>
            <color rgb="FF000000"/>
            <rFont val="MS P ゴシック"/>
            <family val="3"/>
            <charset val="128"/>
          </rPr>
          <t>「満たす」を選択した場合は、算定する加算の区分等を選択してください。</t>
        </r>
      </text>
    </comment>
    <comment ref="AL41" authorId="0" shapeId="0" xr:uid="{00000000-0006-0000-0700-00001D000000}">
      <text>
        <r>
          <rPr>
            <sz val="9"/>
            <color rgb="FF000000"/>
            <rFont val="MS P ゴシック"/>
            <family val="3"/>
            <charset val="128"/>
          </rPr>
          <t>「満たす」を選択した場合は、算定する加算の区分等を選択してください。</t>
        </r>
      </text>
    </comment>
    <comment ref="B47" authorId="0" shapeId="0" xr:uid="{00000000-0006-0000-07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8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8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8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8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8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8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8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8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800-000009000000}">
      <text>
        <r>
          <rPr>
            <sz val="9"/>
            <color rgb="FF000000"/>
            <rFont val="MS P ゴシック"/>
            <family val="3"/>
            <charset val="128"/>
          </rPr>
          <t>４・５月に処遇Ⅰ、６月以降に処遇Ⅰ相当の加算区分を算定する場合は「１」</t>
        </r>
      </text>
    </comment>
    <comment ref="CI6" authorId="0" shapeId="0" xr:uid="{00000000-0006-0000-08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8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8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8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8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800-00000F000000}">
      <text>
        <r>
          <rPr>
            <sz val="9"/>
            <color rgb="FF000000"/>
            <rFont val="MS P ゴシック"/>
            <family val="3"/>
            <charset val="128"/>
          </rPr>
          <t>算定していない場合は、
「特定加算なし」を選択してください。</t>
        </r>
      </text>
    </comment>
    <comment ref="L9" authorId="0" shapeId="0" xr:uid="{00000000-0006-0000-0800-000010000000}">
      <text>
        <r>
          <rPr>
            <sz val="9"/>
            <color rgb="FF000000"/>
            <rFont val="MS P ゴシック"/>
            <family val="3"/>
            <charset val="128"/>
          </rPr>
          <t>算定していない場合は、
「ベア加算なし」を選択してください。</t>
        </r>
      </text>
    </comment>
    <comment ref="CI9" authorId="0" shapeId="0" xr:uid="{00000000-0006-0000-0800-000011000000}">
      <text>
        <r>
          <rPr>
            <sz val="9"/>
            <color rgb="FF000000"/>
            <rFont val="MS P ゴシック"/>
            <family val="3"/>
            <charset val="128"/>
          </rPr>
          <t>キャリアパス要件Ⅴで「満たす」を選択していれば「１」</t>
        </r>
      </text>
    </comment>
    <comment ref="CI10" authorId="0" shapeId="0" xr:uid="{00000000-0006-0000-0800-000012000000}">
      <text>
        <r>
          <rPr>
            <sz val="9"/>
            <color rgb="FF000000"/>
            <rFont val="MS P ゴシック"/>
            <family val="3"/>
            <charset val="128"/>
          </rPr>
          <t>職場環境等要件の上位区分を「満たす」と選択していれば「１」</t>
        </r>
      </text>
    </comment>
    <comment ref="B13" authorId="0" shapeId="0" xr:uid="{00000000-0006-0000-0800-000013000000}">
      <text>
        <r>
          <rPr>
            <sz val="9"/>
            <color rgb="FF000000"/>
            <rFont val="MS P ゴシック"/>
            <family val="3"/>
            <charset val="128"/>
          </rPr>
          <t>令和６年度の算定対象月を記入してください。</t>
        </r>
      </text>
    </comment>
    <comment ref="F15" authorId="0" shapeId="0" xr:uid="{00000000-0006-0000-08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8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8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8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8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800-000019000000}">
      <text>
        <r>
          <rPr>
            <sz val="9"/>
            <color rgb="FF000000"/>
            <rFont val="MS P ゴシック"/>
            <family val="3"/>
            <charset val="128"/>
          </rPr>
          <t>小規模事業者等の特例で満たす場合も含む</t>
        </r>
      </text>
    </comment>
    <comment ref="AG37" authorId="0" shapeId="0" xr:uid="{00000000-0006-0000-08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8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800-00001C000000}">
      <text>
        <r>
          <rPr>
            <sz val="9"/>
            <color rgb="FF000000"/>
            <rFont val="MS P ゴシック"/>
            <family val="3"/>
            <charset val="128"/>
          </rPr>
          <t>「満たす」を選択した場合は、算定する加算の区分等を選択してください。</t>
        </r>
      </text>
    </comment>
    <comment ref="AL41" authorId="0" shapeId="0" xr:uid="{00000000-0006-0000-0800-00001D000000}">
      <text>
        <r>
          <rPr>
            <sz val="9"/>
            <color rgb="FF000000"/>
            <rFont val="MS P ゴシック"/>
            <family val="3"/>
            <charset val="128"/>
          </rPr>
          <t>「満たす」を選択した場合は、算定する加算の区分等を選択してください。</t>
        </r>
      </text>
    </comment>
    <comment ref="B47" authorId="0" shapeId="0" xr:uid="{00000000-0006-0000-08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9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9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9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9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9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9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9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9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900-000009000000}">
      <text>
        <r>
          <rPr>
            <sz val="9"/>
            <color rgb="FF000000"/>
            <rFont val="MS P ゴシック"/>
            <family val="3"/>
            <charset val="128"/>
          </rPr>
          <t>４・５月に処遇Ⅰ、６月以降に処遇Ⅰ相当の加算区分を算定する場合は「１」</t>
        </r>
      </text>
    </comment>
    <comment ref="CI6" authorId="0" shapeId="0" xr:uid="{00000000-0006-0000-09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9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9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9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9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900-00000F000000}">
      <text>
        <r>
          <rPr>
            <sz val="9"/>
            <color rgb="FF000000"/>
            <rFont val="MS P ゴシック"/>
            <family val="3"/>
            <charset val="128"/>
          </rPr>
          <t>算定していない場合は、
「特定加算なし」を選択してください。</t>
        </r>
      </text>
    </comment>
    <comment ref="L9" authorId="0" shapeId="0" xr:uid="{00000000-0006-0000-0900-000010000000}">
      <text>
        <r>
          <rPr>
            <sz val="9"/>
            <color rgb="FF000000"/>
            <rFont val="MS P ゴシック"/>
            <family val="3"/>
            <charset val="128"/>
          </rPr>
          <t>算定していない場合は、
「ベア加算なし」を選択してください。</t>
        </r>
      </text>
    </comment>
    <comment ref="CI9" authorId="0" shapeId="0" xr:uid="{00000000-0006-0000-0900-000011000000}">
      <text>
        <r>
          <rPr>
            <sz val="9"/>
            <color rgb="FF000000"/>
            <rFont val="MS P ゴシック"/>
            <family val="3"/>
            <charset val="128"/>
          </rPr>
          <t>キャリアパス要件Ⅴで「満たす」を選択していれば「１」</t>
        </r>
      </text>
    </comment>
    <comment ref="CI10" authorId="0" shapeId="0" xr:uid="{00000000-0006-0000-0900-000012000000}">
      <text>
        <r>
          <rPr>
            <sz val="9"/>
            <color rgb="FF000000"/>
            <rFont val="MS P ゴシック"/>
            <family val="3"/>
            <charset val="128"/>
          </rPr>
          <t>職場環境等要件の上位区分を「満たす」と選択していれば「１」</t>
        </r>
      </text>
    </comment>
    <comment ref="B13" authorId="0" shapeId="0" xr:uid="{00000000-0006-0000-0900-000013000000}">
      <text>
        <r>
          <rPr>
            <sz val="9"/>
            <color rgb="FF000000"/>
            <rFont val="MS P ゴシック"/>
            <family val="3"/>
            <charset val="128"/>
          </rPr>
          <t>令和６年度の算定対象月を記入してください。</t>
        </r>
      </text>
    </comment>
    <comment ref="F15" authorId="0" shapeId="0" xr:uid="{00000000-0006-0000-09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9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9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9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9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900-000019000000}">
      <text>
        <r>
          <rPr>
            <sz val="9"/>
            <color rgb="FF000000"/>
            <rFont val="MS P ゴシック"/>
            <family val="3"/>
            <charset val="128"/>
          </rPr>
          <t>小規模事業者等の特例で満たす場合も含む</t>
        </r>
      </text>
    </comment>
    <comment ref="AG37" authorId="0" shapeId="0" xr:uid="{00000000-0006-0000-09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9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900-00001C000000}">
      <text>
        <r>
          <rPr>
            <sz val="9"/>
            <color rgb="FF000000"/>
            <rFont val="MS P ゴシック"/>
            <family val="3"/>
            <charset val="128"/>
          </rPr>
          <t>「満たす」を選択した場合は、算定する加算の区分等を選択してください。</t>
        </r>
      </text>
    </comment>
    <comment ref="AL41" authorId="0" shapeId="0" xr:uid="{00000000-0006-0000-0900-00001D000000}">
      <text>
        <r>
          <rPr>
            <sz val="9"/>
            <color rgb="FF000000"/>
            <rFont val="MS P ゴシック"/>
            <family val="3"/>
            <charset val="128"/>
          </rPr>
          <t>「満たす」を選択した場合は、算定する加算の区分等を選択してください。</t>
        </r>
      </text>
    </comment>
    <comment ref="B47" authorId="0" shapeId="0" xr:uid="{00000000-0006-0000-09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A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A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A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A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A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A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A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A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A00-000009000000}">
      <text>
        <r>
          <rPr>
            <sz val="9"/>
            <color rgb="FF000000"/>
            <rFont val="MS P ゴシック"/>
            <family val="3"/>
            <charset val="128"/>
          </rPr>
          <t>４・５月に処遇Ⅰ、６月以降に処遇Ⅰ相当の加算区分を算定する場合は「１」</t>
        </r>
      </text>
    </comment>
    <comment ref="CI6" authorId="0" shapeId="0" xr:uid="{00000000-0006-0000-0A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A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A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A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A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A00-00000F000000}">
      <text>
        <r>
          <rPr>
            <sz val="9"/>
            <color rgb="FF000000"/>
            <rFont val="MS P ゴシック"/>
            <family val="3"/>
            <charset val="128"/>
          </rPr>
          <t>算定していない場合は、
「特定加算なし」を選択してください。</t>
        </r>
      </text>
    </comment>
    <comment ref="L9" authorId="0" shapeId="0" xr:uid="{00000000-0006-0000-0A00-000010000000}">
      <text>
        <r>
          <rPr>
            <sz val="9"/>
            <color rgb="FF000000"/>
            <rFont val="MS P ゴシック"/>
            <family val="3"/>
            <charset val="128"/>
          </rPr>
          <t>算定していない場合は、
「ベア加算なし」を選択してください。</t>
        </r>
      </text>
    </comment>
    <comment ref="CI9" authorId="0" shapeId="0" xr:uid="{00000000-0006-0000-0A00-000011000000}">
      <text>
        <r>
          <rPr>
            <sz val="9"/>
            <color rgb="FF000000"/>
            <rFont val="MS P ゴシック"/>
            <family val="3"/>
            <charset val="128"/>
          </rPr>
          <t>キャリアパス要件Ⅴで「満たす」を選択していれば「１」</t>
        </r>
      </text>
    </comment>
    <comment ref="CI10" authorId="0" shapeId="0" xr:uid="{00000000-0006-0000-0A00-000012000000}">
      <text>
        <r>
          <rPr>
            <sz val="9"/>
            <color rgb="FF000000"/>
            <rFont val="MS P ゴシック"/>
            <family val="3"/>
            <charset val="128"/>
          </rPr>
          <t>職場環境等要件の上位区分を「満たす」と選択していれば「１」</t>
        </r>
      </text>
    </comment>
    <comment ref="B13" authorId="0" shapeId="0" xr:uid="{00000000-0006-0000-0A00-000013000000}">
      <text>
        <r>
          <rPr>
            <sz val="9"/>
            <color rgb="FF000000"/>
            <rFont val="MS P ゴシック"/>
            <family val="3"/>
            <charset val="128"/>
          </rPr>
          <t>令和６年度の算定対象月を記入してください。</t>
        </r>
      </text>
    </comment>
    <comment ref="F15" authorId="0" shapeId="0" xr:uid="{00000000-0006-0000-0A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A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A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A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A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A00-000019000000}">
      <text>
        <r>
          <rPr>
            <sz val="9"/>
            <color rgb="FF000000"/>
            <rFont val="MS P ゴシック"/>
            <family val="3"/>
            <charset val="128"/>
          </rPr>
          <t>小規模事業者等の特例で満たす場合も含む</t>
        </r>
      </text>
    </comment>
    <comment ref="AG37" authorId="0" shapeId="0" xr:uid="{00000000-0006-0000-0A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A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A00-00001C000000}">
      <text>
        <r>
          <rPr>
            <sz val="9"/>
            <color rgb="FF000000"/>
            <rFont val="MS P ゴシック"/>
            <family val="3"/>
            <charset val="128"/>
          </rPr>
          <t>「満たす」を選択した場合は、算定する加算の区分等を選択してください。</t>
        </r>
      </text>
    </comment>
    <comment ref="AL41" authorId="0" shapeId="0" xr:uid="{00000000-0006-0000-0A00-00001D000000}">
      <text>
        <r>
          <rPr>
            <sz val="9"/>
            <color rgb="FF000000"/>
            <rFont val="MS P ゴシック"/>
            <family val="3"/>
            <charset val="128"/>
          </rPr>
          <t>「満たす」を選択した場合は、算定する加算の区分等を選択してください。</t>
        </r>
      </text>
    </comment>
    <comment ref="B47" authorId="0" shapeId="0" xr:uid="{00000000-0006-0000-0A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<sst xmlns="http://schemas.openxmlformats.org/spreadsheetml/2006/main" count="6878" uniqueCount="2438">
  <si>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</si>
  <si>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</si>
  <si>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</si>
  <si>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</si>
  <si>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</si>
  <si>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</si>
  <si>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</si>
  <si>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</si>
  <si>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</si>
  <si>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</si>
  <si>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</si>
  <si>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</si>
  <si>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</si>
  <si>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</si>
  <si>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</si>
  <si>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</si>
  <si>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</si>
  <si>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</si>
  <si>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</si>
  <si>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</si>
  <si>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</si>
  <si>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</si>
  <si>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</si>
  <si>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</si>
  <si>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</si>
  <si>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</si>
  <si>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</si>
  <si>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</si>
  <si>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</si>
  <si>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</si>
  <si>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</si>
  <si>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</si>
  <si>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</si>
  <si>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</si>
  <si>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</si>
  <si>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</si>
  <si>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</si>
  <si>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</si>
  <si>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</si>
  <si>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</si>
  <si>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</si>
  <si>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</si>
  <si>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</si>
  <si>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</si>
  <si>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</si>
  <si>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</si>
  <si>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</si>
  <si>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</si>
  <si>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</si>
  <si>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</si>
  <si>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</si>
  <si>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</si>
  <si>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</si>
  <si>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</si>
  <si>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</si>
  <si>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</si>
  <si>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</si>
  <si>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</si>
  <si>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</si>
  <si>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</si>
  <si>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</si>
  <si>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</si>
  <si>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</si>
  <si>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</si>
  <si>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</si>
  <si>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</si>
  <si>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</si>
  <si>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</si>
  <si>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</si>
  <si>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</si>
  <si>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</si>
  <si>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</si>
  <si>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</si>
  <si>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</si>
  <si>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</si>
  <si>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</si>
  <si>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</si>
  <si>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</si>
  <si>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</si>
  <si>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</si>
  <si>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</si>
  <si>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</si>
  <si>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</si>
  <si>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</si>
  <si>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</si>
  <si>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</si>
  <si>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</si>
  <si>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</si>
  <si>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</si>
  <si>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</si>
  <si>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</si>
  <si>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</si>
  <si>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</si>
  <si>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</si>
  <si>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</si>
  <si>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</si>
  <si>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</si>
  <si>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</si>
  <si>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</si>
  <si>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</si>
  <si>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</si>
  <si>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</si>
  <si>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</si>
  <si>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</si>
  <si>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</si>
  <si>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</si>
  <si>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</si>
  <si>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</si>
  <si>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</si>
  <si>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</si>
  <si>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</si>
  <si>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</si>
  <si>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</si>
  <si>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</si>
  <si>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</si>
  <si>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</si>
  <si>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</si>
  <si>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</si>
  <si>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</si>
  <si>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</si>
  <si>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</si>
  <si>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</si>
  <si>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</si>
  <si>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</si>
  <si>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</si>
  <si>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</si>
  <si>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</si>
  <si>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</si>
  <si>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</si>
  <si>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</si>
  <si>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</si>
  <si>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</si>
  <si>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</si>
  <si>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</si>
  <si>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</si>
  <si>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</si>
  <si>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</si>
  <si>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</si>
  <si>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</si>
  <si>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</si>
  <si>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</si>
  <si>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</si>
  <si>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</si>
  <si>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</si>
  <si>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</si>
  <si>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</si>
  <si>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</si>
  <si>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</si>
  <si>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</si>
  <si>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</si>
  <si>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</si>
  <si>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</si>
  <si>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</si>
  <si>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</si>
  <si>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</si>
  <si>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</si>
  <si>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</si>
  <si>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</si>
  <si>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</si>
  <si>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</si>
  <si>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</si>
  <si>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</si>
  <si>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</si>
  <si>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</si>
  <si>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</si>
  <si>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</si>
  <si>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</si>
  <si>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</si>
  <si>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</si>
  <si>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</si>
  <si>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</si>
  <si>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</si>
  <si>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</si>
  <si>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</si>
  <si>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</si>
  <si>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</si>
  <si>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</si>
  <si>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</si>
  <si>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</si>
  <si>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</si>
  <si>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</si>
  <si>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</si>
  <si>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</si>
  <si>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</si>
  <si>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</si>
  <si>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</si>
  <si>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</si>
  <si>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</si>
  <si>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</si>
  <si>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</si>
  <si>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</si>
  <si>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</si>
  <si>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</si>
  <si>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</si>
  <si>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</si>
  <si>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</si>
  <si>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</si>
  <si>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</si>
  <si>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</si>
  <si>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</si>
  <si>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</si>
  <si>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</si>
  <si>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</si>
  <si>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</si>
  <si>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</si>
  <si>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</si>
  <si>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</si>
  <si>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</si>
  <si>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</si>
  <si>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</si>
  <si>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</si>
  <si>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</si>
  <si>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</si>
  <si>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</si>
  <si>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</si>
  <si>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</si>
  <si>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</si>
  <si>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</si>
  <si>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</si>
  <si>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</si>
  <si>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</si>
  <si>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</si>
  <si>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</si>
  <si>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</si>
  <si>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</si>
  <si>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</si>
  <si>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</si>
  <si>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</si>
  <si>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</si>
  <si>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</si>
  <si>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</si>
  <si>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</si>
  <si>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</si>
  <si>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</si>
  <si>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</si>
  <si>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</si>
  <si>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</si>
  <si>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</si>
  <si>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</si>
  <si>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</si>
  <si>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</si>
  <si>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</si>
  <si>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</si>
  <si>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</si>
  <si>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</si>
  <si>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</si>
  <si>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</si>
  <si>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</si>
  <si>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</si>
  <si>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</si>
  <si>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</si>
  <si>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</si>
  <si>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</si>
  <si>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</si>
  <si>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</si>
  <si>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</si>
  <si>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</si>
  <si>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</si>
  <si>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</si>
  <si>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</si>
  <si>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</si>
  <si>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</si>
  <si>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</si>
  <si>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</si>
  <si>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</si>
  <si>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</si>
  <si>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</si>
  <si>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</si>
  <si>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</si>
  <si>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</si>
  <si>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</si>
  <si>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</si>
  <si>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</si>
  <si>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</si>
  <si>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</si>
  <si>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</si>
  <si>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</si>
  <si>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</si>
  <si>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</si>
  <si>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</si>
  <si>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</si>
  <si>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</si>
  <si>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</si>
  <si>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</si>
  <si>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</si>
  <si>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</si>
  <si>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</si>
  <si>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</si>
  <si>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</si>
  <si>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</si>
  <si>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</si>
  <si>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</si>
  <si>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</si>
  <si>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</si>
  <si>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</si>
  <si>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</si>
  <si>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</si>
  <si>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</si>
  <si>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</si>
  <si>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</si>
  <si>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</si>
  <si>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</si>
  <si>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</si>
  <si>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</si>
  <si>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</si>
  <si>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</si>
  <si>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</si>
  <si>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</si>
  <si>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</si>
  <si>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</si>
  <si>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</si>
  <si>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</si>
  <si>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</si>
  <si>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</si>
  <si>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</si>
  <si>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</si>
  <si>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</si>
  <si>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</si>
  <si>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</si>
  <si>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</si>
  <si>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</si>
  <si>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</si>
  <si>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</si>
  <si>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</si>
  <si>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</si>
  <si>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</si>
  <si>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</si>
  <si>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</si>
  <si>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</si>
  <si>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</si>
  <si>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</si>
  <si>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</si>
  <si>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</si>
  <si>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</si>
  <si>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</si>
  <si>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</si>
  <si>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</si>
  <si>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</si>
  <si>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</si>
  <si>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</si>
  <si>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</si>
  <si>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</si>
  <si>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</si>
  <si>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</si>
  <si>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</si>
  <si>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</si>
  <si>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</si>
  <si>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</si>
  <si>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</si>
  <si>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</si>
  <si>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</si>
  <si>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</si>
  <si>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</si>
  <si>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</si>
  <si>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</si>
  <si>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</si>
  <si>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</si>
  <si>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</si>
  <si>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</si>
  <si>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</si>
  <si>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</si>
  <si>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</si>
  <si>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</si>
  <si>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</si>
  <si>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</si>
  <si>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</si>
  <si>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</si>
  <si>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</si>
  <si>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</si>
  <si>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</si>
  <si>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</si>
  <si>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</si>
  <si>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</si>
  <si>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</si>
  <si>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</si>
  <si>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</si>
  <si>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</si>
  <si>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</si>
  <si>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</si>
  <si>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</si>
  <si>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</si>
  <si>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</si>
  <si>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</si>
  <si>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</si>
  <si>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</si>
  <si>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</si>
  <si>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</si>
  <si>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</si>
  <si>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</si>
  <si>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</si>
  <si>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</si>
  <si>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</si>
  <si>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</si>
  <si>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</si>
  <si>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</si>
  <si>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</si>
  <si>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</si>
  <si>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</si>
  <si>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</si>
  <si>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</si>
  <si>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</si>
  <si>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</si>
  <si>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</si>
  <si>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</si>
  <si>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</si>
  <si>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</si>
  <si>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</si>
  <si>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</si>
  <si>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</si>
  <si>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</si>
  <si>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</si>
  <si>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</si>
  <si>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</si>
  <si>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</si>
  <si>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</si>
  <si>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</si>
  <si>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</si>
  <si>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</si>
  <si>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</si>
  <si>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</si>
  <si>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</si>
  <si>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</si>
  <si>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</si>
  <si>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</si>
  <si>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</si>
  <si>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</si>
  <si>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</si>
  <si>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</si>
  <si>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</si>
  <si>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</si>
  <si>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</si>
  <si>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</si>
  <si>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</si>
  <si>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</si>
  <si>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</si>
  <si>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</si>
  <si>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</si>
  <si>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</si>
  <si>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</si>
  <si>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</si>
  <si>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</si>
  <si>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</si>
  <si>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</si>
  <si>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</si>
  <si>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</si>
  <si>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</si>
  <si>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</si>
  <si>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</si>
  <si>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</si>
  <si>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</si>
  <si>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</si>
  <si>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</si>
  <si>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</si>
  <si>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</si>
  <si>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</si>
  <si>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</si>
  <si>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</si>
  <si>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</si>
  <si>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</si>
  <si>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</si>
  <si>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</si>
  <si>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</si>
  <si>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</si>
  <si>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</si>
  <si>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</si>
  <si>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</si>
  <si>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</si>
  <si>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</si>
  <si>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</si>
  <si>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</si>
  <si>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</si>
  <si>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</si>
  <si>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</si>
  <si>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</si>
  <si>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</si>
  <si>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</si>
  <si>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</si>
  <si>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</si>
  <si>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</si>
  <si>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</si>
  <si>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</si>
  <si>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</si>
  <si>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</si>
  <si>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</si>
  <si>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</si>
  <si>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</si>
  <si>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</si>
  <si>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</si>
  <si>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</si>
  <si>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</si>
  <si>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</si>
  <si>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</si>
  <si>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</si>
  <si>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</si>
  <si>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</si>
  <si>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</si>
  <si>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</si>
  <si>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</si>
  <si>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</si>
  <si>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</si>
  <si>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</si>
  <si>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</si>
  <si>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</si>
  <si>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</si>
  <si>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</si>
  <si>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</si>
  <si>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</si>
  <si>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</si>
  <si>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</si>
  <si>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</si>
  <si>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</si>
  <si>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</si>
  <si>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</si>
  <si>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</si>
  <si>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</si>
  <si>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</si>
  <si>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</si>
  <si>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</si>
  <si>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</si>
  <si>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</si>
  <si>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</si>
  <si>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</si>
  <si>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</si>
  <si>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</si>
  <si>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</si>
  <si>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</si>
  <si>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</si>
  <si>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</si>
  <si>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</si>
  <si>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</si>
  <si>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</si>
  <si>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</si>
  <si>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</si>
  <si>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</si>
  <si>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</si>
  <si>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</si>
  <si>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</si>
  <si>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</si>
  <si>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</si>
  <si>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</si>
  <si>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</si>
  <si>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</si>
  <si>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</si>
  <si>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</si>
  <si>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</si>
  <si>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</si>
  <si>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</si>
  <si>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</si>
  <si>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</si>
  <si>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</si>
  <si>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</si>
  <si>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</si>
  <si>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</si>
  <si>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</si>
  <si>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</si>
  <si>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</si>
  <si>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</si>
  <si>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</si>
  <si>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</si>
  <si>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</si>
  <si>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</si>
  <si>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</si>
  <si>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</si>
  <si>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</si>
  <si>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</si>
  <si>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</si>
  <si>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</si>
  <si>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</si>
  <si>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</si>
  <si>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</si>
  <si>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</si>
  <si>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</si>
  <si>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</si>
  <si>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</si>
  <si>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</si>
  <si>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</si>
  <si>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</si>
  <si>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</si>
  <si>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</si>
  <si>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</si>
  <si>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</si>
  <si>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</si>
  <si>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</si>
  <si>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</si>
  <si>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</si>
  <si>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</si>
  <si>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</si>
  <si>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</si>
  <si>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</si>
  <si>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</si>
  <si>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</si>
  <si>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</si>
  <si>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</si>
  <si>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</si>
  <si>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</si>
  <si>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</si>
  <si>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</si>
  <si>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</si>
  <si>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</si>
  <si>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</si>
  <si>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</si>
  <si>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</si>
  <si>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</si>
  <si>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</si>
  <si>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</si>
  <si>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</si>
  <si>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</si>
  <si>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</si>
  <si>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</si>
  <si>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</si>
  <si>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</si>
  <si>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</si>
  <si>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</si>
  <si>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</si>
  <si>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</si>
  <si>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</si>
  <si>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</si>
  <si>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</si>
  <si>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</si>
  <si>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</si>
  <si>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</si>
  <si>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</si>
  <si>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</si>
  <si>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</si>
  <si>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</si>
  <si>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</si>
  <si>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</si>
  <si>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</si>
  <si>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</si>
  <si>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</si>
  <si>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</si>
  <si>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</si>
  <si>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</si>
  <si>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</si>
  <si>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</si>
  <si>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</si>
  <si>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</si>
  <si>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</si>
  <si>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</si>
  <si>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</si>
  <si>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</si>
  <si>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</si>
  <si>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</si>
  <si>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</si>
  <si>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</si>
  <si>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</si>
  <si>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</si>
  <si>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</si>
  <si>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</si>
  <si>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</si>
  <si>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</si>
  <si>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</si>
  <si>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</si>
  <si>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</si>
  <si>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</si>
  <si>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</si>
  <si>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</si>
  <si>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</si>
  <si>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</si>
  <si>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</si>
  <si>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</si>
  <si>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</si>
  <si>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</si>
  <si>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</si>
  <si>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</si>
  <si>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</si>
  <si>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</si>
  <si>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</si>
  <si>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</si>
  <si>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</si>
  <si>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</si>
  <si>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</si>
  <si>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</si>
  <si>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</si>
  <si>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</si>
  <si>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</si>
  <si>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</si>
  <si>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</si>
  <si>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</si>
  <si>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</si>
  <si>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</si>
  <si>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</si>
  <si>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</si>
  <si>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</si>
  <si>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</si>
  <si>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</si>
  <si>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</si>
  <si>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</si>
  <si>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</si>
  <si>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</si>
  <si>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</si>
  <si>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</si>
  <si>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</si>
  <si>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</si>
  <si>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</si>
  <si>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</si>
  <si>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</si>
  <si>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</si>
  <si>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</si>
  <si>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</si>
  <si>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</si>
  <si>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</si>
  <si>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</si>
  <si>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</si>
  <si>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</si>
  <si>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</si>
  <si>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</si>
  <si>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</si>
  <si>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</si>
  <si>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</si>
  <si>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</si>
  <si>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</si>
  <si>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</si>
  <si>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</si>
  <si>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</si>
  <si>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</si>
  <si>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</si>
  <si>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</si>
  <si>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</si>
  <si>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</si>
  <si>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</si>
  <si>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</si>
  <si>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</si>
  <si>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</si>
  <si>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</si>
  <si>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</si>
  <si>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</si>
  <si>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</si>
  <si>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</si>
  <si>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</si>
  <si>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</si>
  <si>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</si>
  <si>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</si>
  <si>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</si>
  <si>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</si>
  <si>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</si>
  <si>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</si>
  <si>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</si>
  <si>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</si>
  <si>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</si>
  <si>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</si>
  <si>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</si>
  <si>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</si>
  <si>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</si>
  <si>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</si>
  <si>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</si>
  <si>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</si>
  <si>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</si>
  <si>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</si>
  <si>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</si>
  <si>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</si>
  <si>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</si>
  <si>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</si>
  <si>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</si>
  <si>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</si>
  <si>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</si>
  <si>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</si>
  <si>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</si>
  <si>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</si>
  <si>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</si>
  <si>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</si>
  <si>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</si>
  <si>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</si>
  <si>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</si>
  <si>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</si>
  <si>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</si>
  <si>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</si>
  <si>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</si>
  <si>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</si>
  <si>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</si>
  <si>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</si>
  <si>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</si>
  <si>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</si>
  <si>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</si>
  <si>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</si>
  <si>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</si>
  <si>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</si>
  <si>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</si>
  <si>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</si>
  <si>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</si>
  <si>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</si>
  <si>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</si>
  <si>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</si>
  <si>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</si>
  <si>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</si>
  <si>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</si>
  <si>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</si>
  <si>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</si>
  <si>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</si>
  <si>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</si>
  <si>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</si>
  <si>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</si>
  <si>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</si>
  <si>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</si>
  <si>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</si>
  <si>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</si>
  <si>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</si>
  <si>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</si>
  <si>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</si>
  <si>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</si>
  <si>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</si>
  <si>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</si>
  <si>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</si>
  <si>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</si>
  <si>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</si>
  <si>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</si>
  <si>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</si>
  <si>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</si>
  <si>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</si>
  <si>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</si>
  <si>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</si>
  <si>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</si>
  <si>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</si>
  <si>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</si>
  <si>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</si>
  <si>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</si>
  <si>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</si>
  <si>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</si>
  <si>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</si>
  <si>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</si>
  <si>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</si>
  <si>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</si>
  <si>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</si>
  <si>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</si>
  <si>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</si>
  <si>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</si>
  <si>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</si>
  <si>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</si>
  <si>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</si>
  <si>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</si>
  <si>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</si>
  <si>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</si>
  <si>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</si>
  <si>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</si>
  <si>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</si>
  <si>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</si>
  <si>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</si>
  <si>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</si>
  <si>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</si>
  <si>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</si>
  <si>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</si>
  <si>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</si>
  <si>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</si>
  <si>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</si>
  <si>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</si>
  <si>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</si>
  <si>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</si>
  <si>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</si>
  <si>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</si>
  <si>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</si>
  <si>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</si>
  <si>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</si>
  <si>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</si>
  <si>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</si>
  <si>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</si>
  <si>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</si>
  <si>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</si>
  <si>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</si>
  <si>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</si>
  <si>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</si>
  <si>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</si>
  <si>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</si>
  <si>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</si>
  <si>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</si>
  <si>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</si>
  <si>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</si>
  <si>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</si>
  <si>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</si>
  <si>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</si>
  <si>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</si>
  <si>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</si>
  <si>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</si>
  <si>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</si>
  <si>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</si>
  <si>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</si>
  <si>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</si>
  <si>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</si>
  <si>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</si>
  <si>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</si>
  <si>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</si>
  <si>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</si>
  <si>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</si>
  <si>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</si>
  <si>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</si>
  <si>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</si>
  <si>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</si>
  <si>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</si>
  <si>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</si>
  <si>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</si>
  <si>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</si>
  <si>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</si>
  <si>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</si>
  <si>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</si>
  <si>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</si>
  <si>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</si>
  <si>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</si>
  <si>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</si>
  <si>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</si>
  <si>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</si>
  <si>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</si>
  <si>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</si>
  <si>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</si>
  <si>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</si>
  <si>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</si>
  <si>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</si>
  <si>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</si>
  <si>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</si>
  <si>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</si>
  <si>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</si>
  <si>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</si>
  <si>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</si>
  <si>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</si>
  <si>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</si>
  <si>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</si>
  <si>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</si>
  <si>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</si>
  <si>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</si>
  <si>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</si>
  <si>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</si>
  <si>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</si>
  <si>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</si>
  <si>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</si>
  <si>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</si>
  <si>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</si>
  <si>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</si>
  <si>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</si>
  <si>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</si>
  <si>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</si>
  <si>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</si>
  <si>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</si>
  <si>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</si>
  <si>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</si>
  <si>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</si>
  <si>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</si>
  <si>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</si>
  <si>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</si>
  <si>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</si>
  <si>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</si>
  <si>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</si>
  <si>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</si>
  <si>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</si>
  <si>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</si>
  <si>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</si>
  <si>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</si>
  <si>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</si>
  <si>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</si>
  <si>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</si>
  <si>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</si>
  <si>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</si>
  <si>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</si>
  <si>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</si>
  <si>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</si>
  <si>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</si>
  <si>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</si>
  <si>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</si>
  <si>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</si>
  <si>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</si>
  <si>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</si>
  <si>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</si>
  <si>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</si>
  <si>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</si>
  <si>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</si>
  <si>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</si>
  <si>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</si>
  <si>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</si>
  <si>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</si>
  <si>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</si>
  <si>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</si>
  <si>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</si>
  <si>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</si>
  <si>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</si>
  <si>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</si>
  <si>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</si>
  <si>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</si>
  <si>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</si>
  <si>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</si>
  <si>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</si>
  <si>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</si>
  <si>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</si>
  <si>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</si>
  <si>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</si>
  <si>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</si>
  <si>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</si>
  <si>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</si>
  <si>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</si>
  <si>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</si>
  <si>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</si>
  <si>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</si>
  <si>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</si>
  <si>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</si>
  <si>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</si>
  <si>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</si>
  <si>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</si>
  <si>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</si>
  <si>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</si>
  <si>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</si>
  <si>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</si>
  <si>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</si>
  <si>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</si>
  <si>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</si>
  <si>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</si>
  <si>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</si>
  <si>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</si>
  <si>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</si>
  <si>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</si>
  <si>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</si>
  <si>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</si>
  <si>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</si>
  <si>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</si>
  <si>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</si>
  <si>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</si>
  <si>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</si>
  <si>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</si>
  <si>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</si>
  <si>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</si>
  <si>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</si>
  <si>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</si>
  <si>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</si>
  <si>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</si>
  <si>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</si>
  <si>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</si>
  <si>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</si>
  <si>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</si>
  <si>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</si>
  <si>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</si>
  <si>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</si>
  <si>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</si>
  <si>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</si>
  <si>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</si>
  <si>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</si>
  <si>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</si>
  <si>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</si>
  <si>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</si>
  <si>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</si>
  <si>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</si>
  <si>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</si>
  <si>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</si>
  <si>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</si>
  <si>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</si>
  <si>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</si>
  <si>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</si>
  <si>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</si>
  <si>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</si>
  <si>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</si>
  <si>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</si>
  <si>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</si>
  <si>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</si>
  <si>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</si>
  <si>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</si>
  <si>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</si>
  <si>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</si>
  <si>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</si>
  <si>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</si>
  <si>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</si>
  <si>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</si>
  <si>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</si>
  <si>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</si>
  <si>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</si>
  <si>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</si>
  <si>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</si>
  <si>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</si>
  <si>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</si>
  <si>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</si>
  <si>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</si>
  <si>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</si>
  <si>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</si>
  <si>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</si>
  <si>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</si>
  <si>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</si>
  <si>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</si>
  <si>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</si>
  <si>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</si>
  <si>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</si>
  <si>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</si>
  <si>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</si>
  <si>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</si>
  <si>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</si>
  <si>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</si>
  <si>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</si>
  <si>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</si>
  <si>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</si>
  <si>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</si>
  <si>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</si>
  <si>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</si>
  <si>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</si>
  <si>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</si>
  <si>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</si>
  <si>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</si>
  <si>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</si>
  <si>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</si>
  <si>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</si>
  <si>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</si>
  <si>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</si>
  <si>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</si>
  <si>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</si>
  <si>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</si>
  <si>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</si>
  <si>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</si>
  <si>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</si>
  <si>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</si>
  <si>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</si>
  <si>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</si>
  <si>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</si>
  <si>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</si>
  <si>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</si>
  <si>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</si>
  <si>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</si>
  <si>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</si>
  <si>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</si>
  <si>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</si>
  <si>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</si>
  <si>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</si>
  <si>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</si>
  <si>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</si>
  <si>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</si>
  <si>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</si>
  <si>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</si>
  <si>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</si>
  <si>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</si>
  <si>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</si>
  <si>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</si>
  <si>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</si>
  <si>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</si>
  <si>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</si>
  <si>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</si>
  <si>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</si>
  <si>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</si>
  <si>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</si>
  <si>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</si>
  <si>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</si>
  <si>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</si>
  <si>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</si>
  <si>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</si>
  <si>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</si>
  <si>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</si>
  <si>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</si>
  <si>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</si>
  <si>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</si>
  <si>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</si>
  <si>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</si>
  <si>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</si>
  <si>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</si>
  <si>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</si>
  <si>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</si>
  <si>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</si>
  <si>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</si>
  <si>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</si>
  <si>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</si>
  <si>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</si>
  <si>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</si>
  <si>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</si>
  <si>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</si>
  <si>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</si>
  <si>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</si>
  <si>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</si>
  <si>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</si>
  <si>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</si>
  <si>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</si>
  <si>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</si>
  <si>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</si>
  <si>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</si>
  <si>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</si>
  <si>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</si>
  <si>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</si>
  <si>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</si>
  <si>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</si>
  <si>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</si>
  <si>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</si>
  <si>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</si>
  <si>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</si>
  <si>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</si>
  <si>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</si>
  <si>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</si>
  <si>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</si>
  <si>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</si>
  <si>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</si>
  <si>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</si>
  <si>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</si>
  <si>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</si>
  <si>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</si>
  <si>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</si>
  <si>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</si>
  <si>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</si>
  <si>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</si>
  <si>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</si>
  <si>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</si>
  <si>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</si>
  <si>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</si>
  <si>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</si>
  <si>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</si>
  <si>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</si>
  <si>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</si>
  <si>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</si>
  <si>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</si>
  <si>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</si>
  <si>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</si>
  <si>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</si>
  <si>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</si>
  <si>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</si>
  <si>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</si>
  <si>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</si>
  <si>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</si>
  <si>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</si>
  <si>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</si>
  <si>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</si>
  <si>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</si>
  <si>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</si>
  <si>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</si>
  <si>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</si>
  <si>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</si>
  <si>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</si>
  <si>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</si>
  <si>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</si>
  <si>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</si>
  <si>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</si>
  <si>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</si>
  <si>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</si>
  <si>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</si>
  <si>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</si>
  <si>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</si>
  <si>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</si>
  <si>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</si>
  <si>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</si>
  <si>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</si>
  <si>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</si>
  <si>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</si>
  <si>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</si>
  <si>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</si>
  <si>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</si>
  <si>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</si>
  <si>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</si>
  <si>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</si>
  <si>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</si>
  <si>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</si>
  <si>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</si>
  <si>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</si>
  <si>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</si>
  <si>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</si>
  <si>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</si>
  <si>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</si>
  <si>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</si>
  <si>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</si>
  <si>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</si>
  <si>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</si>
  <si>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</si>
  <si>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</si>
  <si>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</si>
  <si>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</si>
  <si>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</si>
  <si>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</si>
  <si>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</si>
  <si>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</si>
  <si>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</si>
  <si>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</si>
  <si>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</si>
  <si>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</si>
  <si>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</si>
  <si>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</si>
  <si>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</si>
  <si>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</si>
  <si>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</si>
  <si>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</si>
  <si>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</si>
  <si>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</si>
  <si>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</si>
  <si>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</si>
  <si>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</si>
  <si>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</si>
  <si>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</si>
  <si>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</si>
  <si>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</si>
  <si>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</si>
  <si>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</si>
  <si>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</si>
  <si>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</si>
  <si>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</si>
  <si>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</si>
  <si>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</si>
  <si>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</si>
  <si>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</si>
  <si>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</si>
  <si>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</si>
  <si>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</si>
  <si>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</si>
  <si>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</si>
  <si>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</si>
  <si>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</si>
  <si>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</si>
  <si>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</si>
  <si>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</si>
  <si>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</si>
  <si>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</si>
  <si>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</si>
  <si>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</si>
  <si>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</si>
  <si>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</si>
  <si>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</si>
  <si>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</si>
  <si>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</si>
  <si>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</si>
  <si>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</si>
  <si>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</si>
  <si>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</si>
  <si>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</si>
  <si>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</si>
  <si>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</si>
  <si>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</si>
  <si>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</si>
  <si>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</si>
  <si>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</si>
  <si>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</si>
  <si>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</si>
  <si>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</si>
  <si>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</si>
  <si>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</si>
  <si>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</si>
  <si>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</si>
  <si>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</si>
  <si>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</si>
  <si>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</si>
  <si>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</si>
  <si>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</si>
  <si>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</si>
  <si>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</si>
  <si>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</si>
  <si>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</si>
  <si>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</si>
  <si>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</si>
  <si>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</si>
  <si>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</si>
  <si>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</si>
  <si>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</si>
  <si>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</si>
  <si>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</si>
  <si>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</si>
  <si>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</si>
  <si>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</si>
  <si>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</si>
  <si>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</si>
  <si>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</si>
  <si>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</si>
  <si>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</si>
  <si>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</si>
  <si>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</si>
  <si>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</si>
  <si>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</si>
  <si>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</si>
  <si>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</si>
  <si>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</si>
  <si>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</si>
  <si>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</si>
  <si>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</si>
  <si>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</si>
  <si>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</si>
  <si>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</si>
  <si>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</si>
  <si>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</si>
  <si>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</si>
  <si>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</si>
  <si>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</si>
  <si>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</si>
  <si>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</si>
  <si>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</si>
  <si>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</si>
  <si>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</si>
  <si>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</si>
  <si>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</si>
  <si>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</si>
  <si>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</si>
  <si>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</si>
  <si>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</si>
  <si>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</si>
  <si>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</si>
  <si>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</si>
  <si>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</si>
  <si>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</si>
  <si>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</si>
  <si>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</si>
  <si>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</si>
  <si>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</si>
  <si>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</si>
  <si>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</si>
  <si>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</si>
  <si>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</si>
  <si>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</si>
  <si>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</si>
  <si>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</si>
  <si>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</si>
  <si>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</si>
  <si>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</si>
  <si>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</si>
  <si>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</si>
  <si>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</si>
  <si>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</si>
  <si>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</si>
  <si>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</si>
  <si>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</si>
  <si>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</si>
  <si>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</si>
  <si>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</si>
  <si>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</si>
  <si>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</si>
  <si>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</si>
  <si>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</si>
  <si>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</si>
  <si>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</si>
  <si>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</si>
  <si>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</si>
  <si>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</si>
  <si>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</si>
  <si>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</si>
  <si>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</si>
  <si>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</si>
  <si>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</si>
  <si>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</si>
  <si>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</si>
  <si>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</si>
  <si>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</si>
  <si>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</si>
  <si>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</si>
  <si>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</si>
  <si>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</si>
  <si>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</si>
  <si>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</si>
  <si>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</si>
  <si>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</si>
  <si>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</si>
  <si>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</si>
  <si>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</si>
  <si>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</si>
  <si>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</si>
  <si>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</si>
  <si>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</si>
  <si>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</si>
  <si>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</si>
  <si>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</si>
  <si>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</si>
  <si>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</si>
  <si>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</si>
  <si>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</si>
  <si>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</si>
  <si>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</si>
  <si>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</si>
  <si>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</si>
  <si>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</si>
  <si>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</si>
  <si>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</si>
  <si>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</si>
  <si>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</si>
  <si>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</si>
  <si>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</si>
  <si>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</si>
  <si>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</si>
  <si>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</si>
  <si>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</si>
  <si>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</si>
  <si>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</si>
  <si>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</si>
  <si>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</si>
  <si>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</si>
  <si>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</si>
  <si>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</si>
  <si>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</si>
  <si>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</si>
  <si>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</si>
  <si>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</si>
  <si>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</si>
  <si>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</si>
  <si>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</si>
  <si>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</si>
  <si>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</si>
  <si>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</si>
  <si>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</si>
  <si>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</si>
  <si>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</si>
  <si>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</si>
  <si>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</si>
  <si>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</si>
  <si>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</si>
  <si>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</si>
  <si>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</si>
  <si>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</si>
  <si>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</si>
  <si>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</si>
  <si>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</si>
  <si>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</si>
  <si>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</si>
  <si>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</si>
  <si>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</si>
  <si>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</si>
  <si>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</si>
  <si>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</si>
  <si>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</si>
  <si>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</si>
  <si>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</si>
  <si>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</si>
  <si>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</si>
  <si>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</si>
  <si>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</si>
  <si>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</si>
  <si>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</si>
  <si>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</si>
  <si>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</si>
  <si>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</si>
  <si>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</si>
  <si>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</si>
  <si>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</si>
  <si>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</si>
  <si>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</si>
  <si>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</si>
  <si>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</si>
  <si>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</si>
  <si>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</si>
  <si>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</si>
  <si>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</si>
  <si>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</si>
  <si>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</si>
  <si>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</si>
  <si>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</si>
  <si>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</si>
  <si>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</si>
  <si>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</si>
  <si>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</si>
  <si>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</si>
  <si>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</si>
  <si>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</si>
  <si>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</si>
  <si>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</si>
  <si>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</si>
  <si>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</si>
  <si>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</si>
  <si>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</si>
  <si>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</si>
  <si>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</si>
  <si>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</si>
  <si>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</si>
  <si>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</si>
  <si>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</si>
  <si>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</si>
  <si>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</si>
  <si>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</si>
  <si>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</si>
  <si>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</si>
  <si>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</si>
  <si>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</si>
  <si>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</si>
  <si>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</si>
  <si>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</si>
  <si>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</si>
  <si>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</si>
  <si>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</si>
  <si>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</si>
  <si>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</si>
  <si>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</si>
  <si>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</si>
  <si>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</si>
  <si>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</si>
  <si>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</si>
  <si>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</si>
  <si>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</si>
  <si>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</si>
  <si>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</si>
  <si>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</si>
  <si>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</si>
  <si>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</si>
  <si>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</si>
  <si>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</si>
  <si>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</si>
  <si>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</si>
  <si>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</si>
  <si>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</si>
  <si>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</si>
  <si>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</si>
  <si>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</si>
  <si>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</si>
  <si>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</si>
  <si>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</si>
  <si>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</si>
  <si>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</si>
  <si>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</si>
  <si>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</si>
  <si>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</si>
  <si>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</si>
  <si>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</si>
  <si>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</si>
  <si>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</si>
  <si>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</si>
  <si>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</si>
  <si>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</si>
  <si>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</si>
  <si>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</si>
  <si>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</si>
  <si>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</si>
  <si>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</si>
  <si>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</si>
  <si>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</si>
  <si>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</si>
  <si>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</si>
  <si>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</si>
  <si>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</si>
  <si>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</si>
  <si>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</si>
  <si>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</si>
  <si>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</si>
  <si>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</si>
  <si>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</si>
  <si>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</si>
  <si>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</si>
  <si>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</si>
  <si>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</si>
  <si>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</si>
  <si>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</si>
  <si>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</si>
  <si>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</si>
  <si>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</si>
  <si>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</si>
  <si>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</si>
  <si>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</si>
  <si>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</si>
  <si>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</si>
  <si>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</si>
  <si>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</si>
  <si>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</si>
  <si>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</si>
  <si>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</si>
  <si>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</si>
  <si>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</si>
  <si>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</si>
  <si>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</si>
  <si>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</si>
  <si>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</si>
  <si>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</si>
  <si>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</si>
  <si>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</si>
  <si>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</si>
  <si>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</si>
  <si>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</si>
  <si>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</si>
  <si>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</si>
  <si>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</si>
  <si>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</si>
  <si>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</si>
  <si>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</si>
  <si>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</si>
  <si>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</si>
  <si>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</si>
  <si>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</si>
  <si>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</si>
  <si>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</si>
  <si>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</si>
  <si>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</si>
  <si>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</si>
  <si>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</si>
  <si>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</si>
  <si>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</si>
  <si>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</si>
  <si>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</si>
  <si>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</si>
  <si>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</si>
  <si>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</si>
  <si>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</si>
  <si>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</si>
  <si>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</si>
  <si>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</si>
  <si>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</si>
  <si>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</si>
  <si>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</si>
  <si>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</si>
  <si>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</si>
  <si>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</si>
  <si>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</si>
  <si>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</si>
  <si>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</si>
  <si>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</si>
  <si>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</si>
  <si>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</si>
  <si>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</si>
  <si>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</si>
  <si>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</si>
  <si>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</si>
  <si>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</si>
  <si>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</si>
  <si>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</si>
  <si>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</si>
  <si>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</si>
  <si>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</si>
  <si>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</si>
  <si>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</si>
  <si>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</si>
  <si>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</si>
  <si>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</si>
  <si>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</si>
  <si>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</si>
  <si>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</si>
  <si>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</si>
  <si>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</si>
  <si>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</si>
  <si>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</si>
  <si>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</si>
  <si>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</si>
  <si>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</si>
  <si>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</si>
  <si>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</si>
  <si>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</si>
  <si>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</si>
  <si>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</si>
  <si>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</si>
  <si>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</si>
  <si>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</si>
  <si>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</si>
  <si>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</si>
  <si>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</si>
  <si>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</si>
  <si>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</si>
  <si>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</si>
  <si>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</si>
  <si>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</si>
  <si>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</si>
  <si>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</si>
  <si>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</si>
  <si>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</si>
  <si>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</si>
  <si>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</si>
  <si>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</si>
  <si>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</si>
  <si>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</si>
  <si>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</si>
  <si>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</si>
  <si>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</si>
  <si>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</si>
  <si>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</si>
  <si>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</si>
  <si>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</si>
  <si>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</si>
  <si>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</si>
  <si>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</si>
  <si>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</si>
  <si>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</si>
  <si>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</si>
  <si>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</si>
  <si>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</si>
  <si>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</si>
  <si>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</si>
  <si>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</si>
  <si>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</si>
  <si>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</si>
  <si>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</si>
  <si>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</si>
  <si>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</si>
  <si>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</si>
  <si>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</si>
  <si>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</si>
  <si>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</si>
  <si>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</si>
  <si>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</si>
  <si>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</si>
  <si>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</si>
  <si>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</si>
  <si>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</si>
  <si>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</si>
  <si>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</si>
  <si>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</si>
  <si>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</si>
  <si>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</si>
  <si>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</si>
  <si>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</si>
  <si>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</si>
  <si>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</si>
  <si>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</si>
  <si>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</si>
  <si>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</si>
  <si>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</si>
  <si>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</si>
  <si>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</si>
  <si>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</si>
  <si>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</si>
  <si>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</si>
  <si>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</si>
  <si>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</si>
  <si>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</si>
  <si>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</si>
  <si>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</si>
  <si>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</si>
  <si>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</si>
  <si>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</si>
  <si>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</si>
  <si>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</si>
  <si>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</si>
  <si>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</si>
  <si>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</si>
  <si>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</si>
  <si>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</si>
  <si>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</si>
  <si>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</si>
  <si>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</si>
  <si>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</si>
  <si>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</si>
  <si>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</si>
  <si>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</si>
  <si>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</si>
  <si>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</si>
  <si>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</si>
  <si>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</si>
  <si>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</si>
  <si>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</si>
  <si>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</si>
  <si>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</si>
  <si>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</si>
  <si>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</si>
  <si>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</si>
  <si>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</si>
  <si>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</si>
  <si>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</si>
  <si>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</si>
  <si>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</si>
  <si>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</si>
  <si>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</si>
  <si>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</si>
  <si>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</si>
  <si>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</si>
  <si>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</si>
  <si>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</si>
  <si>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</si>
  <si>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</si>
  <si>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</si>
  <si>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</si>
  <si>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</si>
  <si>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</si>
  <si>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</si>
  <si>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</si>
  <si>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</si>
  <si>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</si>
  <si>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</si>
  <si>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</si>
  <si>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</si>
  <si>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</si>
  <si>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</si>
  <si>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</si>
  <si>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</si>
  <si>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</si>
  <si>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</si>
  <si>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</si>
  <si>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</si>
  <si>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</si>
  <si>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</si>
  <si>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</si>
  <si>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</si>
  <si>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</si>
  <si>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</si>
  <si>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</si>
  <si>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</si>
  <si>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</si>
  <si>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</si>
  <si>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</si>
  <si>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</si>
  <si>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</si>
  <si>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</si>
  <si>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</si>
  <si>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</si>
  <si>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</si>
  <si>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</si>
  <si>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</si>
  <si>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</si>
  <si>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</si>
  <si>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</si>
  <si>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</si>
  <si>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</si>
  <si>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</si>
  <si>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</si>
  <si>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</si>
  <si>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</si>
  <si>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</si>
  <si>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</si>
  <si>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</si>
  <si>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</si>
  <si>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</si>
  <si>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</si>
  <si>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</si>
  <si>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</si>
  <si>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</si>
  <si>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</si>
  <si>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</si>
  <si>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</si>
  <si>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</si>
  <si>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</si>
  <si>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</si>
  <si>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</si>
  <si>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</si>
  <si>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</si>
  <si>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</si>
  <si>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</si>
  <si>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</si>
  <si>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</si>
  <si>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</si>
  <si>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</si>
  <si>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</si>
  <si>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</si>
  <si>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</si>
  <si>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</si>
  <si>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</si>
  <si>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</si>
  <si>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</si>
  <si>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</si>
  <si>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</si>
  <si>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</si>
  <si>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</si>
  <si>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</si>
  <si>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</si>
  <si>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</si>
  <si>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</si>
  <si>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</si>
  <si>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</si>
  <si>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</si>
  <si>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</si>
  <si>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</si>
  <si>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</si>
  <si>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</si>
  <si>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</si>
  <si>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</si>
  <si>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</si>
  <si>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</si>
  <si>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</si>
  <si>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</si>
  <si>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</si>
  <si>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</si>
  <si>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</si>
  <si>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</si>
  <si>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</si>
  <si>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</si>
  <si>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</si>
  <si>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</si>
  <si>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</si>
  <si>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</si>
  <si>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</si>
  <si>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</si>
  <si>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</si>
  <si>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</si>
  <si>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</si>
  <si>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</si>
  <si>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</si>
  <si>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</si>
  <si>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</si>
  <si>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</si>
  <si>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</si>
  <si>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</si>
  <si>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</si>
  <si>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</si>
  <si>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</si>
  <si>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</si>
  <si>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</si>
  <si>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</si>
  <si>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</si>
  <si>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</si>
  <si>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</si>
  <si>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</si>
  <si>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</si>
  <si>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</si>
  <si>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</si>
  <si>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</si>
  <si>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</si>
  <si>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</si>
  <si>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</si>
  <si>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</si>
  <si>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</si>
  <si>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</si>
  <si>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</si>
  <si>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</si>
  <si>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</si>
  <si>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</si>
  <si>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</si>
  <si>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</si>
  <si>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</si>
  <si>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</si>
  <si>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</si>
  <si>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</si>
  <si>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</si>
  <si>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</si>
  <si>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</si>
  <si>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</si>
  <si>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</si>
  <si>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</si>
  <si>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</si>
  <si>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</si>
  <si>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</si>
  <si>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</si>
  <si>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</si>
  <si>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</si>
  <si>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</si>
  <si>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</si>
  <si>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</si>
  <si>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</si>
  <si>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</si>
  <si>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</si>
  <si>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</si>
  <si>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</si>
  <si>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</si>
  <si>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</si>
  <si>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</si>
  <si>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</si>
  <si>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</si>
  <si>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</si>
  <si>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</si>
  <si>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</si>
  <si>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</si>
  <si>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</si>
  <si>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</si>
  <si>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</si>
  <si>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</si>
  <si>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</si>
  <si>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</si>
  <si>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</si>
  <si>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</si>
  <si>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</si>
  <si>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</si>
  <si>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</si>
  <si>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</si>
  <si>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</si>
  <si>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</si>
  <si>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</si>
  <si>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</si>
  <si>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</si>
  <si>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</si>
  <si>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</si>
  <si>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</si>
  <si>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</si>
  <si>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</si>
  <si>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</si>
  <si>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</si>
  <si>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</si>
  <si>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</si>
  <si>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</si>
  <si>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</si>
  <si>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</si>
  <si>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</si>
  <si>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</si>
  <si>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</si>
  <si>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</si>
  <si>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</si>
  <si>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</si>
  <si>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</si>
  <si>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</si>
  <si>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</si>
  <si>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</si>
  <si>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</si>
  <si>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</si>
  <si>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</si>
  <si>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</si>
  <si>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</si>
  <si>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</si>
  <si>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</si>
  <si>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</si>
  <si>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</si>
  <si>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</si>
  <si>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</si>
  <si>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</si>
  <si>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</si>
  <si>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</si>
  <si>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</si>
  <si>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</si>
  <si>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</si>
  <si>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</si>
  <si>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</si>
  <si>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</si>
  <si>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</si>
  <si>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</si>
  <si>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</si>
  <si>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</si>
  <si>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</si>
  <si>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</si>
  <si>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</si>
  <si>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</si>
  <si>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</si>
  <si>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</si>
  <si>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</si>
  <si>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</si>
  <si>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</si>
  <si>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</si>
  <si>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</si>
  <si>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</si>
  <si>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</si>
  <si>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</si>
  <si>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</si>
  <si>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</si>
  <si>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</si>
  <si>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</si>
  <si>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</si>
  <si>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</si>
  <si>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</si>
  <si>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</si>
  <si>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</si>
  <si>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</si>
  <si>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</si>
  <si>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</si>
  <si>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</si>
  <si>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</si>
  <si>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</si>
  <si>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</si>
  <si>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</si>
  <si>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</si>
  <si>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</si>
  <si>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</si>
  <si>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</si>
  <si>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</si>
  <si>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</si>
  <si>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</si>
  <si>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</si>
  <si>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</si>
  <si>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</si>
  <si>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</si>
  <si>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</si>
  <si>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</si>
  <si>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</si>
  <si>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</si>
  <si>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</si>
  <si>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</si>
  <si>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</si>
  <si>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</si>
  <si>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</si>
  <si>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</si>
  <si>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</si>
  <si>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</si>
  <si>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</si>
  <si>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</si>
  <si>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</si>
  <si>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</si>
  <si>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</si>
  <si>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</si>
  <si>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</si>
  <si>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</si>
  <si>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</si>
  <si>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</si>
  <si>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</si>
  <si>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</si>
  <si>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</si>
  <si>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</si>
  <si>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</si>
  <si>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</si>
  <si>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</si>
  <si>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</si>
  <si>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</si>
  <si>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</si>
  <si>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</si>
  <si>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</si>
  <si>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</si>
  <si>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</si>
  <si>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</si>
  <si>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</si>
  <si>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</si>
  <si>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</si>
  <si>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</si>
  <si>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</si>
  <si>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</si>
  <si>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</si>
  <si>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</si>
  <si>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</si>
  <si>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</si>
  <si>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</si>
  <si>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</si>
  <si>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</si>
  <si>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</si>
  <si>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</si>
  <si>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</si>
  <si>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</si>
  <si>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</si>
  <si>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</si>
  <si>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</si>
  <si>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</si>
  <si>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</si>
  <si>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</si>
  <si>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</si>
  <si>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</si>
  <si>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</si>
  <si>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</si>
  <si>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</si>
  <si>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</si>
  <si>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</si>
  <si>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</si>
  <si>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</si>
  <si>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</si>
  <si>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</si>
  <si>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</si>
  <si>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</si>
  <si>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</si>
  <si>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</si>
  <si>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</si>
  <si>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</si>
  <si>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</si>
  <si>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</si>
  <si>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</si>
  <si>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</si>
  <si>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</si>
  <si>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</si>
  <si>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</si>
  <si>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</si>
  <si>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</si>
  <si>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</si>
  <si>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</si>
  <si>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</si>
  <si>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</si>
  <si>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</si>
  <si>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</si>
  <si>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</si>
  <si>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</si>
  <si>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</si>
  <si>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</si>
  <si>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</si>
  <si>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</si>
  <si>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</si>
  <si>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</si>
  <si>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</si>
  <si>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</si>
  <si>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</si>
  <si>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</si>
  <si>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</si>
  <si>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</si>
  <si>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</si>
  <si>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</si>
  <si>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</si>
  <si>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</si>
  <si>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</si>
  <si>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</si>
  <si>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</si>
  <si>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</si>
  <si>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</si>
  <si>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</si>
  <si>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</si>
  <si>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</si>
  <si>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</si>
  <si>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</si>
  <si>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</si>
  <si>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</si>
  <si>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</si>
  <si>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</si>
  <si>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</si>
  <si>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</si>
  <si>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</si>
  <si>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</si>
  <si>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</si>
  <si>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</si>
  <si>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</si>
  <si>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</si>
  <si>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</si>
  <si>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</si>
  <si>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</si>
  <si>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</si>
  <si>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</si>
  <si>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</si>
  <si>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</si>
  <si>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</si>
  <si>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</si>
  <si>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</si>
  <si>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</si>
  <si>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</si>
  <si>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</si>
  <si>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</si>
  <si>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</si>
  <si>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</si>
  <si>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</si>
  <si>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</si>
  <si>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</si>
  <si>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</si>
  <si>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</si>
  <si>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</si>
  <si>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</si>
  <si>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</si>
  <si>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</si>
  <si>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</si>
  <si>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</si>
  <si>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</si>
  <si>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</si>
  <si>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</si>
  <si>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</si>
  <si>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</si>
  <si>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</si>
  <si>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</si>
  <si>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</si>
  <si>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</si>
  <si>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</si>
  <si>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</si>
  <si>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</si>
  <si>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</si>
  <si>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</si>
  <si>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</si>
  <si>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</si>
  <si>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</si>
  <si>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</si>
  <si>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</si>
  <si>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</si>
  <si>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</si>
  <si>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</si>
  <si>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</si>
  <si>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</si>
  <si>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</si>
  <si>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</si>
  <si>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</si>
  <si>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</si>
  <si>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</si>
  <si>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</si>
  <si>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</si>
  <si>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</si>
  <si>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</si>
  <si>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</si>
  <si>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</si>
  <si>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</si>
  <si>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</si>
  <si>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</si>
  <si>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</si>
  <si>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</si>
  <si>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</si>
  <si>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</si>
  <si>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</si>
  <si>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</si>
  <si>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</si>
  <si>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</si>
  <si>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</si>
  <si>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</si>
  <si>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</si>
  <si>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</si>
  <si>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</si>
  <si>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</si>
  <si>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</si>
  <si>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</si>
  <si>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</si>
  <si>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</si>
  <si>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</si>
  <si>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</si>
  <si>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</si>
  <si>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</si>
  <si>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</si>
  <si>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</si>
  <si>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</si>
  <si>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</si>
  <si>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</si>
  <si>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</si>
  <si>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</si>
  <si>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</si>
  <si>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</si>
  <si>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</si>
  <si>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</si>
  <si>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</si>
  <si>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</si>
  <si>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</si>
  <si>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</si>
  <si>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</si>
  <si>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</si>
  <si>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</si>
  <si>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</si>
  <si>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</si>
  <si>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</si>
  <si>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</si>
  <si>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</si>
  <si>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</si>
  <si>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</si>
  <si>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</si>
  <si>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</si>
  <si>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</si>
  <si>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</si>
  <si>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</si>
  <si>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</si>
  <si>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</si>
  <si>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</si>
  <si>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</si>
  <si>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</si>
  <si>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</si>
  <si>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</si>
  <si>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</si>
  <si>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</si>
  <si>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</si>
  <si>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</si>
  <si>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</si>
  <si>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</si>
  <si>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</si>
  <si>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</si>
  <si>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</si>
  <si>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</si>
  <si>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</si>
  <si>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</si>
  <si>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</si>
  <si>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</si>
  <si>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</si>
  <si>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</si>
  <si>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</si>
  <si>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</si>
  <si>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</si>
  <si>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</si>
  <si>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</si>
  <si>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</si>
  <si>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</si>
  <si>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</si>
  <si>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</si>
  <si>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</si>
  <si>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</si>
  <si>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</si>
  <si>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</si>
  <si>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</si>
  <si>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</si>
  <si>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</si>
  <si>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</si>
  <si>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</si>
  <si>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</si>
  <si>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</si>
  <si>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</si>
  <si>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</si>
  <si>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</si>
  <si>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</si>
  <si>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</si>
  <si>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</si>
  <si>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</si>
  <si>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</si>
  <si>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</si>
  <si>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</si>
  <si>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</si>
  <si>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</si>
  <si>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</si>
  <si>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</si>
  <si>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</si>
  <si>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</si>
  <si>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</si>
  <si>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</si>
  <si>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</si>
  <si>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</si>
  <si>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</si>
  <si>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</si>
  <si>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</si>
  <si>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</si>
  <si>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</si>
  <si>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</si>
  <si>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</si>
  <si>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</si>
  <si>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</si>
  <si>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</si>
  <si>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</si>
  <si>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</si>
  <si>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</si>
  <si>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</si>
  <si>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</si>
  <si>
    <t>高原町</t>
    <rPh sb="0" eb="3">
      <t>タカハルチョウ</t>
    </rPh>
    <phoneticPr fontId="6"/>
  </si>
  <si>
    <t>高原町</t>
    <rPh sb="0" eb="3">
      <t>タカハルチョウ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</si>
</sst>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7" fillId="2"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7" fillId="2" borderId="142"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7" fillId="3" borderId="142"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5"/>
              <a:chExt cx="303832" cy="486898"/>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5"/>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79"/>
              <a:chExt cx="301792" cy="78007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79"/>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81"/>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98"/>
              <a:chExt cx="301792" cy="494785"/>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8"/>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7"/>
              <a:chExt cx="308371" cy="779264"/>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7"/>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5"/>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4" y="8168777"/>
              <a:chExt cx="217571"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12" y="816877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4"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61" y="8166050"/>
              <a:chExt cx="208649" cy="749789"/>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1" y="816605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1" y="8640723"/>
                <a:ext cx="186517"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46"/>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3"/>
              <a:chExt cx="308371" cy="762889"/>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33"/>
              <a:chExt cx="301792" cy="49479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27"/>
              <a:chExt cx="308371" cy="779267"/>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3" y="8168778"/>
              <a:chExt cx="217573" cy="792440"/>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66" y="8166090"/>
              <a:chExt cx="208607" cy="749736"/>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46"/>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3"/>
              <a:chExt cx="308371" cy="762889"/>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33"/>
              <a:chExt cx="301792" cy="49479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27"/>
              <a:chExt cx="308371" cy="779267"/>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3" y="8168778"/>
              <a:chExt cx="217573" cy="792440"/>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66" y="8166090"/>
              <a:chExt cx="208607" cy="749736"/>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46"/>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3"/>
              <a:chExt cx="308371" cy="762889"/>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33"/>
              <a:chExt cx="301792" cy="49479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27"/>
              <a:chExt cx="308371" cy="779267"/>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3" y="8168778"/>
              <a:chExt cx="217573" cy="792440"/>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66" y="8166090"/>
              <a:chExt cx="208607" cy="749736"/>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46"/>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3"/>
              <a:chExt cx="308371" cy="762889"/>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33"/>
              <a:chExt cx="301792" cy="49479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27"/>
              <a:chExt cx="308371" cy="779267"/>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3" y="8168778"/>
              <a:chExt cx="217573" cy="792440"/>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66" y="8166090"/>
              <a:chExt cx="208607" cy="749736"/>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46"/>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3"/>
              <a:chExt cx="308371" cy="762889"/>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33"/>
              <a:chExt cx="301792" cy="49479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27"/>
              <a:chExt cx="308371" cy="779267"/>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3" y="8168778"/>
              <a:chExt cx="217573" cy="792440"/>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66" y="8166090"/>
              <a:chExt cx="208607" cy="749736"/>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46"/>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3"/>
              <a:chExt cx="308371" cy="762889"/>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33"/>
              <a:chExt cx="301792" cy="49479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27"/>
              <a:chExt cx="308371" cy="779267"/>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3" y="8168778"/>
              <a:chExt cx="217573" cy="792440"/>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66" y="8166090"/>
              <a:chExt cx="208607" cy="749736"/>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6"/>
              <a:ext cx="304800" cy="714373"/>
              <a:chOff x="4479758" y="4496302"/>
              <a:chExt cx="301792" cy="780046"/>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900"/>
              <a:ext cx="304800" cy="698096"/>
              <a:chOff x="4549825" y="5456603"/>
              <a:chExt cx="308371" cy="762889"/>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500"/>
              <a:chOff x="5763126" y="8931933"/>
              <a:chExt cx="301792" cy="49479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6"/>
              <a:ext cx="304800" cy="638178"/>
              <a:chOff x="4549825" y="6438927"/>
              <a:chExt cx="308371" cy="779267"/>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6" y="8154125"/>
              <a:ext cx="220582" cy="694602"/>
              <a:chOff x="5767613" y="8168778"/>
              <a:chExt cx="217573" cy="792440"/>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01" y="8146786"/>
              <a:ext cx="200246" cy="744661"/>
              <a:chOff x="4538966" y="8166090"/>
              <a:chExt cx="208607" cy="749736"/>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9"/>
              <a:ext cx="304802" cy="710980"/>
              <a:chOff x="5809589" y="729059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6"/>
              <a:ext cx="304800" cy="714373"/>
              <a:chOff x="4479758" y="4496302"/>
              <a:chExt cx="301792" cy="780046"/>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900"/>
              <a:ext cx="304800" cy="698096"/>
              <a:chOff x="4549825" y="5456603"/>
              <a:chExt cx="308371" cy="762889"/>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500"/>
              <a:chOff x="5763126" y="8931933"/>
              <a:chExt cx="301792" cy="49479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6"/>
              <a:ext cx="304800" cy="638178"/>
              <a:chOff x="4549825" y="6438927"/>
              <a:chExt cx="308371" cy="779267"/>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6" y="8154125"/>
              <a:ext cx="220582" cy="694602"/>
              <a:chOff x="5767613" y="8168778"/>
              <a:chExt cx="217573" cy="792440"/>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01" y="8146786"/>
              <a:ext cx="200246" cy="744661"/>
              <a:chOff x="4538966" y="8166090"/>
              <a:chExt cx="208607" cy="749736"/>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9"/>
              <a:ext cx="304802" cy="710980"/>
              <a:chOff x="5809589" y="729059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49"/>
              <a:chOff x="4501773" y="3772582"/>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2"/>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6"/>
              <a:chOff x="4479758" y="4496290"/>
              <a:chExt cx="301792" cy="780074"/>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0"/>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901"/>
              <a:ext cx="304800" cy="698089"/>
              <a:chOff x="4549825" y="5456621"/>
              <a:chExt cx="308371" cy="762884"/>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3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51"/>
              <a:ext cx="304800" cy="371469"/>
              <a:chOff x="5763126" y="8931971"/>
              <a:chExt cx="301792" cy="49472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1"/>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2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9"/>
              <a:ext cx="304800" cy="638164"/>
              <a:chOff x="4549825" y="6438969"/>
              <a:chExt cx="308371" cy="779242"/>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9"/>
                <a:ext cx="308371" cy="238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4"/>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9" y="8154115"/>
              <a:ext cx="220565" cy="694604"/>
              <a:chOff x="5767514" y="8168716"/>
              <a:chExt cx="217612" cy="792579"/>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7" y="8168716"/>
                <a:ext cx="217069"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14" y="8723169"/>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61"/>
              <a:ext cx="200246" cy="744703"/>
              <a:chOff x="4538978" y="8166013"/>
              <a:chExt cx="208649" cy="749810"/>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17" y="8166013"/>
                <a:ext cx="207110"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78" y="8640706"/>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5" y="7311355"/>
              <a:ext cx="207416" cy="718629"/>
              <a:chOff x="5898942" y="7305248"/>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42" y="730524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77"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249"/>
  <sheetViews>
    <sheetView tabSelected="1" view="pageBreakPreview" zoomScaleNormal="120" zoomScaleSheetLayoutView="100" zoomScalePageLayoutView="64" workbookViewId="0">
      <selection activeCell="H9" sqref="H9:AK9"/>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2374</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2437</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2375</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2375</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2376</v>
      </c>
      <c r="I8" s="537">
        <v>100</v>
      </c>
      <c r="J8" s="537"/>
      <c r="K8" s="268" t="s">
        <v>2384</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2377</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2378</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2379</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2380</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2381</v>
      </c>
      <c r="M13" s="964"/>
      <c r="N13" s="964"/>
      <c r="O13" s="964"/>
      <c r="P13" s="964"/>
      <c r="Q13" s="964"/>
      <c r="R13" s="964"/>
      <c r="S13" s="964"/>
      <c r="T13" s="964"/>
      <c r="U13" s="965"/>
      <c r="V13" s="966" t="s">
        <v>2382</v>
      </c>
      <c r="W13" s="967"/>
      <c r="X13" s="967"/>
      <c r="Y13" s="962"/>
      <c r="Z13" s="963" t="s">
        <v>2383</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12096206</v>
      </c>
      <c r="R18" s="547"/>
      <c r="S18" s="547"/>
      <c r="T18" s="547"/>
      <c r="U18" s="547"/>
      <c r="V18" s="548"/>
      <c r="W18" s="277" t="s">
        <v>2420</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5879242</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9896206</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2328</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3679242</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2329</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2330</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2394</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2331</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2332</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2333</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5114885</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2334</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2335</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2336</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2337</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2338</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2339</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2340</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2341</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2342</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2343</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219002</v>
      </c>
      <c r="V79" s="837"/>
      <c r="W79" s="837"/>
      <c r="X79" s="837"/>
      <c r="Y79" s="837"/>
      <c r="Z79" s="357" t="s">
        <v>36</v>
      </c>
      <c r="AA79" s="275" t="s">
        <v>43</v>
      </c>
      <c r="AB79" s="549" t="s">
        <v>2421</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2421</v>
      </c>
      <c r="AJ82" s="322"/>
      <c r="AK82" s="256"/>
      <c r="AL82" s="322"/>
      <c r="AM82" s="776" t="s">
        <v>2344</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2345</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2421</v>
      </c>
      <c r="AJ87" s="322"/>
      <c r="AK87" s="322"/>
      <c r="AL87" s="322"/>
      <c r="AM87" s="776" t="s">
        <v>2346</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2347</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2348</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2349</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2350</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2351</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2352</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2353</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2354</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2369</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2371</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2370</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2355</v>
      </c>
      <c r="C131" s="649"/>
      <c r="D131" s="649"/>
      <c r="E131" s="649"/>
      <c r="F131" s="649"/>
      <c r="G131" s="649"/>
      <c r="H131" s="649"/>
      <c r="I131" s="649"/>
      <c r="J131" s="649"/>
      <c r="K131" s="649"/>
      <c r="L131" s="702" t="s">
        <v>2369</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2371</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2370</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2356</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2357</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2358</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2359</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2360</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2372</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2373</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2393</v>
      </c>
      <c r="AL204" s="256"/>
      <c r="AM204" s="258"/>
    </row>
    <row r="205" spans="1:59" ht="17.25" customHeight="1">
      <c r="A205" s="256"/>
      <c r="B205" s="514" t="s">
        <v>32</v>
      </c>
      <c r="C205" s="515" t="s">
        <v>2361</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IF(AM117="記入不要","",IF(OR(S118="○",AK125="○"),"○","×"))</f>
        <v>○</v>
      </c>
      <c r="AL223" s="256"/>
      <c r="AM223" s="258"/>
    </row>
    <row r="224" spans="1:60" s="266" customFormat="1" ht="36" customHeight="1">
      <c r="A224" s="265"/>
      <c r="B224" s="518" t="s">
        <v>2362</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2363</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00000000-0002-0000-0000-000000000000}">
      <formula1>"令和,平成"</formula1>
    </dataValidation>
    <dataValidation imeMode="hiragana" allowBlank="1" showInputMessage="1" showErrorMessage="1" sqref="X202:X203 T201 U46 T47 T45" xr:uid="{00000000-0002-0000-0000-000001000000}"/>
    <dataValidation imeMode="halfAlpha" allowBlank="1" showInputMessage="1" showErrorMessage="1" sqref="K200:L200 E200:F200 H200:I200 B13 L13 Q43 AA43 T43 AD43" xr:uid="{00000000-0002-0000-0000-000002000000}"/>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J73"/>
  <sheetViews>
    <sheetView showGridLines="0" view="pageBreakPreview" zoomScaleNormal="53" zoomScaleSheetLayoutView="100" workbookViewId="0">
      <selection activeCell="AA14" sqref="AA14:AP16"/>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2291</v>
      </c>
      <c r="M1" s="173"/>
      <c r="N1" s="1147" t="s">
        <v>2290</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高原町</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2389</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176"/>
      <c r="AR2" s="176"/>
      <c r="CE2" s="987" t="s">
        <v>2392</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7" t="s">
        <v>2386</v>
      </c>
      <c r="CF3" s="987"/>
      <c r="CG3" s="987"/>
      <c r="CH3" s="987"/>
      <c r="CI3" s="993" t="str">
        <f>IF(AND(L9="ベア加算",Q49="ベア加算"),1,"")</f>
        <v/>
      </c>
      <c r="CJ3" s="994"/>
    </row>
    <row r="4" spans="1:88" ht="25.5" customHeight="1">
      <c r="B4" s="1125" t="s">
        <v>2292</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2391</v>
      </c>
      <c r="CF4" s="987"/>
      <c r="CG4" s="987"/>
      <c r="CH4" s="987"/>
      <c r="CI4" s="995">
        <f>IF(OR(OR(G49="処遇加算Ⅰ",G49="処遇加算Ⅱ"),OR(AS48="処遇加算Ⅰ",AS48="処遇加算Ⅱ")),1,"")</f>
        <v>1</v>
      </c>
      <c r="CJ4" s="996"/>
    </row>
    <row r="5" spans="1:88" ht="33" customHeight="1">
      <c r="B5" s="1139">
        <v>1334567890</v>
      </c>
      <c r="C5" s="1139"/>
      <c r="D5" s="1139"/>
      <c r="E5" s="1139"/>
      <c r="F5" s="1139"/>
      <c r="G5" s="1100" t="s">
        <v>2436</v>
      </c>
      <c r="H5" s="1100"/>
      <c r="I5" s="1100"/>
      <c r="J5" s="1101" t="s">
        <v>454</v>
      </c>
      <c r="K5" s="1101"/>
      <c r="L5" s="1101"/>
      <c r="M5" s="1102" t="s">
        <v>2047</v>
      </c>
      <c r="N5" s="1102"/>
      <c r="O5" s="1102"/>
      <c r="P5" s="1103">
        <f>IF(Y5="","",IFERROR(INDEX(【参考】数式用3!$G$3:$I$451,MATCH(M5,【参考】数式用3!$F$3:$F$451,0),MATCH(VLOOKUP(Y5,【参考】数式用3!$J$2:$K$26,2,FALSE),【参考】数式用3!$G$2:$I$2,0)),10))</f>
        <v>10</v>
      </c>
      <c r="Q5" s="1104"/>
      <c r="R5" s="1104"/>
      <c r="S5" s="1105" t="s">
        <v>7</v>
      </c>
      <c r="T5" s="1106"/>
      <c r="U5" s="1106"/>
      <c r="V5" s="1106"/>
      <c r="W5" s="1106"/>
      <c r="X5" s="1107"/>
      <c r="Y5" s="1123" t="s">
        <v>260</v>
      </c>
      <c r="Z5" s="1123"/>
      <c r="AA5" s="1123"/>
      <c r="AB5" s="1123"/>
      <c r="AC5" s="1123"/>
      <c r="AD5" s="1123"/>
      <c r="AE5" s="1156">
        <v>225000</v>
      </c>
      <c r="AF5" s="1157"/>
      <c r="AG5" s="1157"/>
      <c r="AH5" s="1158"/>
      <c r="AI5" s="1156">
        <v>40000</v>
      </c>
      <c r="AJ5" s="1157"/>
      <c r="AK5" s="1157"/>
      <c r="AL5" s="1158"/>
      <c r="AM5" s="1159">
        <f>AE5-AI5</f>
        <v>185000</v>
      </c>
      <c r="AN5" s="1160"/>
      <c r="AO5" s="1160"/>
      <c r="AP5" s="1161"/>
      <c r="AS5" s="183"/>
      <c r="AT5" s="1010"/>
      <c r="AU5" s="1010"/>
      <c r="AV5" s="1010"/>
      <c r="AW5" s="1010"/>
      <c r="AX5" s="1010"/>
      <c r="AY5" s="1010"/>
      <c r="AZ5" s="1010"/>
      <c r="BA5" s="184"/>
      <c r="CE5" s="987" t="s">
        <v>2385</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2388</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2387</v>
      </c>
      <c r="CF7" s="1009"/>
      <c r="CG7" s="1009"/>
      <c r="CH7" s="1009"/>
      <c r="CI7" s="995" t="str">
        <f>IF(AND(AH62=1,AD41=""),1,"")</f>
        <v/>
      </c>
      <c r="CJ7" s="996"/>
    </row>
    <row r="8" spans="1:88" ht="17.25" customHeight="1" thickBot="1">
      <c r="B8" s="1110" t="s">
        <v>2327</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新加算Ⅱ</v>
      </c>
      <c r="W8" s="1142"/>
      <c r="X8" s="1142"/>
      <c r="Y8" s="1142"/>
      <c r="Z8" s="1143"/>
      <c r="AA8" s="1152" t="str">
        <f>IFERROR(VLOOKUP(AS1,【参考】数式用2!E6:L23,4,FALSE),"")</f>
        <v>補助金を取得する場合、４月からベア加算の算定が必要。その場合、６月以降は自然と新加算Ⅱに移行可能。</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2387</v>
      </c>
      <c r="CF8" s="1009"/>
      <c r="CG8" s="1009"/>
      <c r="CH8" s="1009"/>
      <c r="CI8" s="995" t="str">
        <f>IF(AND(AP62=1,AL41=""),1,"")</f>
        <v/>
      </c>
      <c r="CJ8" s="996"/>
    </row>
    <row r="9" spans="1:88" ht="26.25" customHeight="1">
      <c r="B9" s="1113" t="s">
        <v>9</v>
      </c>
      <c r="C9" s="1114"/>
      <c r="D9" s="1114"/>
      <c r="E9" s="1114"/>
      <c r="F9" s="1115"/>
      <c r="G9" s="1116" t="s">
        <v>10</v>
      </c>
      <c r="H9" s="1117"/>
      <c r="I9" s="1117"/>
      <c r="J9" s="1117"/>
      <c r="K9" s="1118"/>
      <c r="L9" s="1119" t="s">
        <v>11</v>
      </c>
      <c r="M9" s="1120"/>
      <c r="N9" s="1120"/>
      <c r="O9" s="1120"/>
      <c r="P9" s="1121"/>
      <c r="Q9" s="1108" t="s">
        <v>2200</v>
      </c>
      <c r="R9" s="1109"/>
      <c r="S9" s="1109"/>
      <c r="T9" s="1041"/>
      <c r="U9" s="1042"/>
      <c r="V9" s="1144">
        <f>IFERROR(VLOOKUP(Y5,【参考】数式用!$A$5:$AB$27,MATCH(V8,【参考】数式用!$B$4:$AB$4,0)+1,FALSE),"")</f>
        <v>0.224</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2387</v>
      </c>
      <c r="CF9" s="987"/>
      <c r="CG9" s="987"/>
      <c r="CH9" s="987"/>
      <c r="CI9" s="995" t="str">
        <f>IF(OR(AH62=1,AP62=1),1,"")</f>
        <v/>
      </c>
      <c r="CJ9" s="996"/>
    </row>
    <row r="10" spans="1:88" ht="11.25" customHeight="1">
      <c r="B10" s="1068">
        <f>IFERROR(VLOOKUP(Y5,【参考】数式用!$A$5:$J$27,MATCH(B9,【参考】数式用!$B$4:$J$4,0)+1,0),"")</f>
        <v>0.13700000000000001</v>
      </c>
      <c r="C10" s="1069"/>
      <c r="D10" s="1069"/>
      <c r="E10" s="1069"/>
      <c r="F10" s="1070"/>
      <c r="G10" s="1068">
        <f>IFERROR(VLOOKUP(Y5,【参考】数式用!$A$5:$J$27,MATCH(G9,【参考】数式用!$B$4:$J$4,0)+1,0),"")</f>
        <v>4.2000000000000003E-2</v>
      </c>
      <c r="H10" s="1069"/>
      <c r="I10" s="1069"/>
      <c r="J10" s="1069"/>
      <c r="K10" s="1070"/>
      <c r="L10" s="1068">
        <f>IFERROR(VLOOKUP(Y5,【参考】数式用!$A$5:$J$27,MATCH(L9,【参考】数式用!$B$4:$J$4,0)+1,0),"")</f>
        <v>0</v>
      </c>
      <c r="M10" s="1069"/>
      <c r="N10" s="1069"/>
      <c r="O10" s="1069"/>
      <c r="P10" s="1070"/>
      <c r="Q10" s="1036">
        <f>SUM(B10,G10,L10)</f>
        <v>0.17900000000000002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2390</v>
      </c>
      <c r="CF10" s="987"/>
      <c r="CG10" s="987"/>
      <c r="CH10" s="987"/>
      <c r="CI10" s="995">
        <f>IF(OR(AH63=1,AP63=1),1,0)</f>
        <v>1</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新加算Ⅴ(３)</v>
      </c>
      <c r="W11" s="1138"/>
      <c r="X11" s="1138"/>
      <c r="Y11" s="1138"/>
      <c r="Z11" s="1138"/>
      <c r="AA11" s="1152" t="str">
        <f>IFERROR(VLOOKUP(AS1,【参考】数式用2!E6:L23,6,FALSE),"")</f>
        <v>４月からベア加算を算定せず、６月から月額賃金改善要件Ⅱも満たさない場合、Ⅴ(３)となる。なお、R7年度以降は月額賃金改善要件Ⅱが必要。</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37"/>
      <c r="D12" s="1137"/>
      <c r="E12" s="1137"/>
      <c r="F12" s="1137"/>
      <c r="G12" s="1137"/>
      <c r="H12" s="1137"/>
      <c r="I12" s="1137"/>
      <c r="J12" s="1137"/>
      <c r="K12" s="1137"/>
      <c r="L12" s="1137"/>
      <c r="M12" s="1137"/>
      <c r="N12" s="1137"/>
      <c r="O12" s="1137"/>
      <c r="P12" s="1137"/>
      <c r="Q12" s="1137"/>
      <c r="R12" s="1137"/>
      <c r="S12" s="1137"/>
      <c r="T12" s="1043"/>
      <c r="U12" s="1042"/>
      <c r="V12" s="1148">
        <f>IFERROR(VLOOKUP(Y5,【参考】数式用!$A$5:$AB$27,MATCH(V11,【参考】数式用!$B$4:$AB$4,0)+1,FALSE),"")</f>
        <v>0.2</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2287</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202"/>
      <c r="V14" s="1138" t="str">
        <f>IFERROR(IF(VLOOKUP(AS1,【参考】数式用2!E6:L23,7,FALSE)="","",VLOOKUP(AS1,【参考】数式用2!E6:L23,7,FALSE)),"")</f>
        <v/>
      </c>
      <c r="W14" s="1138"/>
      <c r="X14" s="1138"/>
      <c r="Y14" s="1138"/>
      <c r="Z14" s="1138"/>
      <c r="AA14" s="1162">
        <f>IFERROR(VLOOKUP(AS1,【参考】数式用2!E6:L23,8,FALSE),"")</f>
        <v>0</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2281</v>
      </c>
      <c r="C15" s="1075"/>
      <c r="D15" s="147">
        <v>6</v>
      </c>
      <c r="E15" s="203" t="s">
        <v>2282</v>
      </c>
      <c r="F15" s="147">
        <v>4</v>
      </c>
      <c r="G15" s="203" t="s">
        <v>2283</v>
      </c>
      <c r="H15" s="1076" t="s">
        <v>2284</v>
      </c>
      <c r="I15" s="1076"/>
      <c r="J15" s="1089"/>
      <c r="K15" s="147">
        <v>7</v>
      </c>
      <c r="L15" s="203" t="s">
        <v>2282</v>
      </c>
      <c r="M15" s="147">
        <v>3</v>
      </c>
      <c r="N15" s="203" t="s">
        <v>2283</v>
      </c>
      <c r="O15" s="203" t="s">
        <v>2285</v>
      </c>
      <c r="P15" s="204">
        <f>(K15*12+M15)-(D15*12+F15)+1</f>
        <v>12</v>
      </c>
      <c r="Q15" s="1076" t="s">
        <v>2286</v>
      </c>
      <c r="R15" s="1076"/>
      <c r="S15" s="205" t="s">
        <v>74</v>
      </c>
      <c r="U15" s="202"/>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91" t="s">
        <v>2294</v>
      </c>
      <c r="C21" s="1092"/>
      <c r="D21" s="1092"/>
      <c r="E21" s="1092"/>
      <c r="F21" s="1093"/>
      <c r="G21" s="1131" t="s">
        <v>245</v>
      </c>
      <c r="H21" s="1132"/>
      <c r="I21" s="1132"/>
      <c r="J21" s="1132"/>
      <c r="K21" s="1132"/>
      <c r="L21" s="1132"/>
      <c r="M21" s="1132"/>
      <c r="N21" s="1132"/>
      <c r="O21" s="1132"/>
      <c r="P21" s="1132"/>
      <c r="Q21" s="1132"/>
      <c r="R21" s="1132"/>
      <c r="S21" s="1132"/>
      <c r="T21" s="1133"/>
      <c r="U21" s="218"/>
      <c r="V21" s="219"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219" t="str">
        <f>IFERROR(IF(OR(B9="処遇加算Ⅰ",B9="処遇加算Ⅱ"),"✓",""),"")</f>
        <v>✓</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94"/>
      <c r="C25" s="1095"/>
      <c r="D25" s="1095"/>
      <c r="E25" s="1095"/>
      <c r="F25" s="1096"/>
      <c r="G25" s="1149"/>
      <c r="H25" s="1150"/>
      <c r="I25" s="1150"/>
      <c r="J25" s="1150"/>
      <c r="K25" s="1150"/>
      <c r="L25" s="1150"/>
      <c r="M25" s="1150"/>
      <c r="N25" s="1150"/>
      <c r="O25" s="1150"/>
      <c r="P25" s="1150"/>
      <c r="Q25" s="1150"/>
      <c r="R25" s="1150"/>
      <c r="S25" s="1150"/>
      <c r="T25" s="1151"/>
      <c r="U25" s="218"/>
      <c r="V25" s="219"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219"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219" t="str">
        <f>IFERROR(IF(OR(B9="処遇加算Ⅰ",B9="処遇加算Ⅱ"),"✓",""),"")</f>
        <v>✓</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219"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219"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2368</v>
      </c>
      <c r="AD37" s="1179"/>
      <c r="AE37" s="1179"/>
      <c r="AF37" s="1179"/>
      <c r="AG37" s="1180">
        <v>1</v>
      </c>
      <c r="AH37" s="1181"/>
      <c r="AI37" s="1041"/>
      <c r="AJ37" s="1042"/>
      <c r="AK37" s="1178" t="s">
        <v>2368</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8" t="s">
        <v>2223</v>
      </c>
      <c r="C40" s="1018"/>
      <c r="D40" s="1018"/>
      <c r="E40" s="1018"/>
      <c r="F40" s="1018"/>
      <c r="G40" s="1017" t="str">
        <f>IFERROR(VLOOKUP(Y5,【参考】数式用!AS5:AT27,2,0),"")</f>
        <v>　特定事業所加算ⅠまたはⅡを算定する。</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2316</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ベア加算</v>
      </c>
      <c r="BB48" s="1013"/>
      <c r="BC48" s="1013"/>
      <c r="BD48" s="1013"/>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060"/>
      <c r="Q49" s="1061" t="str">
        <f>IFERROR(IF(OR(L9="ベア加算",AND(L9="ベア加算なし",AH57=1)),"ベア加算",IF(AH57=2,"ベア加算なし","")),"")</f>
        <v>ベア加算</v>
      </c>
      <c r="R49" s="1046"/>
      <c r="S49" s="1046"/>
      <c r="T49" s="1046"/>
      <c r="U49" s="1060"/>
      <c r="V49" s="1062" t="s">
        <v>12</v>
      </c>
      <c r="W49" s="1063"/>
      <c r="X49" s="1063"/>
      <c r="Y49" s="1063"/>
      <c r="Z49" s="1063"/>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0.13700000000000001</v>
      </c>
      <c r="H50" s="1032"/>
      <c r="I50" s="1032"/>
      <c r="J50" s="1032"/>
      <c r="K50" s="1033"/>
      <c r="L50" s="1031">
        <f>IFERROR(VLOOKUP(Y5,【参考】数式用!$A$5:$J$27,MATCH(L49,【参考】数式用!$B$4:$J$4,0)+1,0),"")</f>
        <v>4.2000000000000003E-2</v>
      </c>
      <c r="M50" s="1032"/>
      <c r="N50" s="1032"/>
      <c r="O50" s="1032"/>
      <c r="P50" s="1034"/>
      <c r="Q50" s="1035">
        <f>IFERROR(VLOOKUP(Y5,【参考】数式用!$A$5:$J$27,MATCH(Q49,【参考】数式用!$B$4:$J$4,0)+1,0),"")</f>
        <v>2.4E-2</v>
      </c>
      <c r="R50" s="1032"/>
      <c r="S50" s="1032"/>
      <c r="T50" s="1032"/>
      <c r="U50" s="1034"/>
      <c r="V50" s="1036">
        <f>SUM(G50,L50,Q50)</f>
        <v>0.20300000000000001</v>
      </c>
      <c r="W50" s="1037"/>
      <c r="X50" s="1037"/>
      <c r="Y50" s="1037"/>
      <c r="Z50" s="1037"/>
      <c r="AA50" s="1043"/>
      <c r="AB50" s="1043"/>
      <c r="AC50" s="1038">
        <f>IFERROR(VLOOKUP(Y5,【参考】数式用!$A$5:$AB$27,MATCH(AC49,【参考】数式用!$B$4:$AB$4,0)+1,FALSE),"")</f>
        <v>0.224</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2293</v>
      </c>
      <c r="C51" s="1023"/>
      <c r="D51" s="1023"/>
      <c r="E51" s="1023"/>
      <c r="F51" s="1024"/>
      <c r="G51" s="1048">
        <f>IFERROR(ROUNDDOWN(ROUND(AM5*G50,0)*P5,0)*H53,"")</f>
        <v>506900</v>
      </c>
      <c r="H51" s="1048"/>
      <c r="I51" s="1048"/>
      <c r="J51" s="1048"/>
      <c r="K51" s="148" t="s">
        <v>2288</v>
      </c>
      <c r="L51" s="1051">
        <f>IFERROR(ROUNDDOWN(ROUND(AM5*L50,0)*P5,0)*H53,"")</f>
        <v>155400</v>
      </c>
      <c r="M51" s="1048"/>
      <c r="N51" s="1048"/>
      <c r="O51" s="1048"/>
      <c r="P51" s="148" t="s">
        <v>2288</v>
      </c>
      <c r="Q51" s="1051">
        <f>IFERROR(ROUNDDOWN(ROUND(AM5*Q50,0)*P5,0)*H53,"")</f>
        <v>88800</v>
      </c>
      <c r="R51" s="1048"/>
      <c r="S51" s="1048"/>
      <c r="T51" s="1048"/>
      <c r="U51" s="149" t="s">
        <v>2288</v>
      </c>
      <c r="V51" s="1058">
        <f>IFERROR(SUM(G51,L51,Q51),"")</f>
        <v>751100</v>
      </c>
      <c r="W51" s="1059"/>
      <c r="X51" s="1059"/>
      <c r="Y51" s="1059"/>
      <c r="Z51" s="150" t="s">
        <v>2288</v>
      </c>
      <c r="AB51" s="151"/>
      <c r="AC51" s="1051">
        <f>IFERROR(ROUNDDOWN(ROUND(AM5*AC50,0)*P5,0)*AD53,"")</f>
        <v>4144000</v>
      </c>
      <c r="AD51" s="1048"/>
      <c r="AE51" s="1048"/>
      <c r="AF51" s="1048"/>
      <c r="AG51" s="1048"/>
      <c r="AH51" s="149" t="s">
        <v>2288</v>
      </c>
      <c r="AS51" s="1011">
        <f>IFERROR(ROUNDDOWN(ROUND(AM5*(G50-B10),0)*P5,0)*H53,"")</f>
        <v>0</v>
      </c>
      <c r="AT51" s="1011"/>
      <c r="AU51" s="1011"/>
      <c r="AV51" s="1011"/>
      <c r="AW51" s="1011">
        <f>IFERROR(ROUNDDOWN(ROUND(AM5*(L50-G10),0)*P5,0)*H53,"")</f>
        <v>0</v>
      </c>
      <c r="AX51" s="1011"/>
      <c r="AY51" s="1011"/>
      <c r="AZ51" s="1011"/>
      <c r="BA51" s="1011">
        <f>IFERROR(ROUNDDOWN(ROUND(AM5*(Q50-L10),0)*P5,0)*H53,"")</f>
        <v>88800</v>
      </c>
      <c r="BB51" s="1011"/>
      <c r="BC51" s="1011"/>
      <c r="BD51" s="1011"/>
      <c r="BE51" s="1011">
        <f>IFERROR(ROUNDDOWN(ROUND(AM5*(AC50-Q10),0)*P5,0)*AD53,"")</f>
        <v>832500</v>
      </c>
      <c r="BF51" s="1011"/>
      <c r="BG51" s="1011"/>
      <c r="BH51" s="1011"/>
      <c r="BI51" s="1011">
        <f>SUM(AS51:BH51)</f>
        <v>921300</v>
      </c>
      <c r="BJ51" s="1011"/>
      <c r="BK51" s="1011"/>
      <c r="BL51" s="1011"/>
      <c r="BM51" s="241"/>
      <c r="BN51" s="1011">
        <f>IFERROR(ROUNDDOWN(ROUNDDOWN(ROUND(AM5*(VLOOKUP(Y5,【参考】数式用!$A$5:$AB$27,14,FALSE)),0)*P5,0)*AD53*0.5,0),"")</f>
        <v>1341250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4" t="str">
        <f>IFERROR("("&amp;TEXT(G51/H53,"#,##0円")&amp;"/月)","")</f>
        <v>(253,450円/月)</v>
      </c>
      <c r="H52" s="1050"/>
      <c r="I52" s="1050"/>
      <c r="J52" s="1050"/>
      <c r="K52" s="1050"/>
      <c r="L52" s="1050" t="str">
        <f>IFERROR("("&amp;TEXT(L51/H53,"#,##0円")&amp;"/月)","")</f>
        <v>(77,700円/月)</v>
      </c>
      <c r="M52" s="1050"/>
      <c r="N52" s="1050"/>
      <c r="O52" s="1050"/>
      <c r="P52" s="1050"/>
      <c r="Q52" s="1050" t="str">
        <f>IFERROR("("&amp;TEXT(Q51/H53,"#,##0円")&amp;"/月)","")</f>
        <v>(44,400円/月)</v>
      </c>
      <c r="R52" s="1050"/>
      <c r="S52" s="1050"/>
      <c r="T52" s="1050"/>
      <c r="U52" s="1050"/>
      <c r="V52" s="1050" t="str">
        <f>IFERROR("("&amp;TEXT(V51/H53,"#,##0円")&amp;"/月)","")</f>
        <v>(375,550円/月)</v>
      </c>
      <c r="W52" s="1050"/>
      <c r="X52" s="1050"/>
      <c r="Y52" s="1050"/>
      <c r="Z52" s="1050"/>
      <c r="AB52" s="151"/>
      <c r="AC52" s="1052" t="str">
        <f>IFERROR("("&amp;TEXT(AC51/AD53,"#,##0円")&amp;"/月)","")</f>
        <v>(414,400円/月)</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2419</v>
      </c>
      <c r="AT56" s="1169"/>
      <c r="AU56" s="1169"/>
      <c r="AV56" s="1169"/>
      <c r="AW56" s="1169" t="s">
        <v>2418</v>
      </c>
      <c r="AX56" s="1169"/>
      <c r="AY56" s="1169"/>
      <c r="AZ56" s="1169"/>
    </row>
    <row r="57" spans="2:86" ht="15.95" customHeight="1">
      <c r="U57" s="1012" t="s">
        <v>2203</v>
      </c>
      <c r="V57" s="1012"/>
      <c r="W57" s="1012"/>
      <c r="X57" s="1012"/>
      <c r="Y57" s="1012"/>
      <c r="Z57" s="252">
        <f>IF(AND(B9&lt;&gt;"処遇加算なし",F15=4),IF(V21="✓",1,IF(V22="✓",2,"")),"")</f>
        <v>2</v>
      </c>
      <c r="AA57" s="245"/>
      <c r="AB57" s="249"/>
      <c r="AC57" s="1012" t="s">
        <v>2203</v>
      </c>
      <c r="AD57" s="1012"/>
      <c r="AE57" s="1012"/>
      <c r="AF57" s="1012"/>
      <c r="AG57" s="1012"/>
      <c r="AH57" s="170">
        <v>1</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24" t="s">
        <v>2204</v>
      </c>
      <c r="V58" s="1124"/>
      <c r="W58" s="1124"/>
      <c r="X58" s="1124"/>
      <c r="Y58" s="1124"/>
      <c r="Z58" s="252">
        <f>IF(AND(B9&lt;&gt;"処遇加算なし",F15=4),IF(V24="✓",1,IF(V25="✓",2,IF(V26="✓",3,""))),"")</f>
        <v>1</v>
      </c>
      <c r="AA58" s="245"/>
      <c r="AB58" s="249"/>
      <c r="AC58" s="1124" t="s">
        <v>2204</v>
      </c>
      <c r="AD58" s="1124"/>
      <c r="AE58" s="1124"/>
      <c r="AF58" s="1124"/>
      <c r="AG58" s="1124"/>
      <c r="AH58" s="170">
        <v>1</v>
      </c>
      <c r="AI58" s="253"/>
      <c r="AJ58" s="249"/>
      <c r="AK58" s="1124" t="s">
        <v>2204</v>
      </c>
      <c r="AL58" s="1124"/>
      <c r="AM58" s="1124"/>
      <c r="AN58" s="1124"/>
      <c r="AO58" s="1124"/>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24" t="s">
        <v>2205</v>
      </c>
      <c r="V59" s="1124"/>
      <c r="W59" s="1124"/>
      <c r="X59" s="1124"/>
      <c r="Y59" s="1124"/>
      <c r="Z59" s="252">
        <f>IF(AND(B9&lt;&gt;"処遇加算なし",F15=4),IF(V28="✓",1,IF(V29="✓",2,IF(V30="✓",3,""))),"")</f>
        <v>1</v>
      </c>
      <c r="AA59" s="245"/>
      <c r="AB59" s="249"/>
      <c r="AC59" s="1124" t="s">
        <v>2205</v>
      </c>
      <c r="AD59" s="1124"/>
      <c r="AE59" s="1124"/>
      <c r="AF59" s="1124"/>
      <c r="AG59" s="1124"/>
      <c r="AH59" s="170">
        <v>1</v>
      </c>
      <c r="AI59" s="253"/>
      <c r="AJ59" s="249"/>
      <c r="AK59" s="1124" t="s">
        <v>2205</v>
      </c>
      <c r="AL59" s="1124"/>
      <c r="AM59" s="1124"/>
      <c r="AN59" s="1124"/>
      <c r="AO59" s="1124"/>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24" t="s">
        <v>2206</v>
      </c>
      <c r="V60" s="1124"/>
      <c r="W60" s="1124"/>
      <c r="X60" s="1124"/>
      <c r="Y60" s="1124"/>
      <c r="Z60" s="252">
        <f>IF(AND(B9&lt;&gt;"処遇加算なし",F15=4),IF(V32="✓",1,IF(V33="✓",2,"")),"")</f>
        <v>1</v>
      </c>
      <c r="AA60" s="245"/>
      <c r="AB60" s="249"/>
      <c r="AC60" s="1124" t="s">
        <v>2206</v>
      </c>
      <c r="AD60" s="1124"/>
      <c r="AE60" s="1124"/>
      <c r="AF60" s="1124"/>
      <c r="AG60" s="1124"/>
      <c r="AH60" s="170">
        <v>1</v>
      </c>
      <c r="AI60" s="253"/>
      <c r="AJ60" s="249"/>
      <c r="AK60" s="1124" t="s">
        <v>2206</v>
      </c>
      <c r="AL60" s="1124"/>
      <c r="AM60" s="1124"/>
      <c r="AN60" s="1124"/>
      <c r="AO60" s="1124"/>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24" t="s">
        <v>2207</v>
      </c>
      <c r="V61" s="1124"/>
      <c r="W61" s="1124"/>
      <c r="X61" s="1124"/>
      <c r="Y61" s="1124"/>
      <c r="Z61" s="252">
        <f>IF(AND(B9&lt;&gt;"処遇加算なし",F15=4),IF(V36="✓",1,IF(V37="✓",2,"")),"")</f>
        <v>1</v>
      </c>
      <c r="AA61" s="245"/>
      <c r="AB61" s="249"/>
      <c r="AC61" s="1124" t="s">
        <v>2207</v>
      </c>
      <c r="AD61" s="1124"/>
      <c r="AE61" s="1124"/>
      <c r="AF61" s="1124"/>
      <c r="AG61" s="1124"/>
      <c r="AH61" s="170">
        <v>1</v>
      </c>
      <c r="AI61" s="253"/>
      <c r="AJ61" s="249"/>
      <c r="AK61" s="1124" t="s">
        <v>2207</v>
      </c>
      <c r="AL61" s="1124"/>
      <c r="AM61" s="1124"/>
      <c r="AN61" s="1124"/>
      <c r="AO61" s="1124"/>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24" t="s">
        <v>2208</v>
      </c>
      <c r="V62" s="1124"/>
      <c r="W62" s="1124"/>
      <c r="X62" s="1124"/>
      <c r="Y62" s="1124"/>
      <c r="Z62" s="252">
        <f>IF(AND(B9&lt;&gt;"処遇加算なし",F15=4),IF(V40="✓",1,IF(V41="✓",2,"")),"")</f>
        <v>2</v>
      </c>
      <c r="AA62" s="245"/>
      <c r="AB62" s="249"/>
      <c r="AC62" s="1124" t="s">
        <v>2208</v>
      </c>
      <c r="AD62" s="1124"/>
      <c r="AE62" s="1124"/>
      <c r="AF62" s="1124"/>
      <c r="AG62" s="1124"/>
      <c r="AH62" s="170">
        <v>2</v>
      </c>
      <c r="AI62" s="253"/>
      <c r="AJ62" s="249"/>
      <c r="AK62" s="1124" t="s">
        <v>2208</v>
      </c>
      <c r="AL62" s="1124"/>
      <c r="AM62" s="1124"/>
      <c r="AN62" s="1124"/>
      <c r="AO62" s="1124"/>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252">
        <f>IF(AND(B9&lt;&gt;"処遇加算なし",F15=4),IF(V44="✓",1,IF(V45="✓",2,"")),"")</f>
        <v>1</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AC20:AH20"/>
    <mergeCell ref="B15:C15"/>
    <mergeCell ref="Q15:R15"/>
    <mergeCell ref="V15:Z16"/>
    <mergeCell ref="B13:S14"/>
    <mergeCell ref="H15:J15"/>
    <mergeCell ref="L51:O51"/>
    <mergeCell ref="Q51:T51"/>
    <mergeCell ref="V51:Y51"/>
    <mergeCell ref="L49:P49"/>
    <mergeCell ref="Q49:U49"/>
    <mergeCell ref="V49:Z49"/>
    <mergeCell ref="W25:Z25"/>
    <mergeCell ref="AD25:AH25"/>
    <mergeCell ref="B18:S20"/>
    <mergeCell ref="W24:Z2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00000000-0002-0000-0100-000000000000}">
      <formula1>サービス名</formula1>
    </dataValidation>
    <dataValidation type="list" allowBlank="1" showInputMessage="1" showErrorMessage="1" sqref="M5:O5" xr:uid="{00000000-0002-0000-0100-000001000000}">
      <formula1>INDIRECT(J5)</formula1>
    </dataValidation>
    <dataValidation type="list" allowBlank="1" showInputMessage="1" showErrorMessage="1" sqref="M15:M16" xr:uid="{00000000-0002-0000-0100-000002000000}">
      <formula1>"1,2,3,6,7,8,9,10,11,12"</formula1>
    </dataValidation>
    <dataValidation type="list" allowBlank="1" showInputMessage="1" showErrorMessage="1" sqref="K15:K16 D15:D16" xr:uid="{00000000-0002-0000-01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100-000004000000}">
      <formula1>10</formula1>
    </dataValidation>
    <dataValidation type="list" allowBlank="1" showInputMessage="1" showErrorMessage="1" sqref="AD41:AH41" xr:uid="{00000000-0002-0000-0100-000005000000}">
      <formula1>INDIRECT(BF1)</formula1>
    </dataValidation>
    <dataValidation type="list" allowBlank="1" showInputMessage="1" showErrorMessage="1" sqref="AL41:AP41" xr:uid="{00000000-0002-0000-0100-000006000000}">
      <formula1>INDIRECT(BF1)</formula1>
    </dataValidation>
    <dataValidation type="whole" operator="greaterThanOrEqual" allowBlank="1" showInputMessage="1" showErrorMessage="1" prompt="要件を満たす職員数を記入してください。" sqref="AG37:AH37 AO37:AP37" xr:uid="{00000000-0002-0000-0100-000007000000}">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8000000}">
          <x14:formula1>
            <xm:f>【参考】数式用3!$A$3:$A$49</xm:f>
          </x14:formula1>
          <xm:sqref>J5:L5</xm:sqref>
        </x14:dataValidation>
        <x14:dataValidation type="list" allowBlank="1" showInputMessage="1" showErrorMessage="1" xr:uid="{00000000-0002-0000-0100-000009000000}">
          <x14:formula1>
            <xm:f>【参考】数式用!$I$4:$J$4</xm:f>
          </x14:formula1>
          <xm:sqref>L9</xm:sqref>
        </x14:dataValidation>
        <x14:dataValidation type="list" allowBlank="1" showInputMessage="1" showErrorMessage="1" xr:uid="{00000000-0002-0000-0100-00000A000000}">
          <x14:formula1>
            <xm:f>【参考】数式用!$F$4:$H$4</xm:f>
          </x14:formula1>
          <xm:sqref>G9</xm:sqref>
        </x14:dataValidation>
        <x14:dataValidation type="list" allowBlank="1" showInputMessage="1" showErrorMessage="1" xr:uid="{00000000-0002-0000-0100-00000B000000}">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J73"/>
  <sheetViews>
    <sheetView showGridLines="0" view="pageBreakPreview" zoomScaleNormal="53" zoomScaleSheetLayoutView="100" workbookViewId="0">
      <selection activeCell="G5" sqref="G5:I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2291</v>
      </c>
      <c r="M1" s="173"/>
      <c r="N1" s="1147" t="s">
        <v>2422</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2389</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2392</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7" t="s">
        <v>2386</v>
      </c>
      <c r="CF3" s="987"/>
      <c r="CG3" s="987"/>
      <c r="CH3" s="987"/>
      <c r="CI3" s="993">
        <f>IF(AND(L9="ベア加算",Q49="ベア加算"),1,"")</f>
        <v>1</v>
      </c>
      <c r="CJ3" s="994"/>
    </row>
    <row r="4" spans="1:88" ht="25.5" customHeight="1">
      <c r="B4" s="1125" t="s">
        <v>2292</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2391</v>
      </c>
      <c r="CF4" s="987"/>
      <c r="CG4" s="987"/>
      <c r="CH4" s="987"/>
      <c r="CI4" s="995">
        <f>IF(OR(OR(G49="処遇加算Ⅰ",G49="処遇加算Ⅱ"),OR(AS48="処遇加算Ⅰ",AS48="処遇加算Ⅱ")),1,"")</f>
        <v>1</v>
      </c>
      <c r="CJ4" s="996"/>
    </row>
    <row r="5" spans="1:88" ht="33" customHeight="1">
      <c r="B5" s="1139">
        <v>1334567891</v>
      </c>
      <c r="C5" s="1139"/>
      <c r="D5" s="1139"/>
      <c r="E5" s="1139"/>
      <c r="F5" s="1139"/>
      <c r="G5" s="1100" t="s">
        <v>4</v>
      </c>
      <c r="H5" s="1100"/>
      <c r="I5" s="1100"/>
      <c r="J5" s="1101" t="s">
        <v>5</v>
      </c>
      <c r="K5" s="1101"/>
      <c r="L5" s="1101"/>
      <c r="M5" s="1102" t="s">
        <v>6</v>
      </c>
      <c r="N5" s="1102"/>
      <c r="O5" s="1102"/>
      <c r="P5" s="1103">
        <f>IF(Y5="","",IFERROR(INDEX(【参考】数式用3!$G$3:$I$451,MATCH(M5,【参考】数式用3!$F$3:$F$451,0),MATCH(VLOOKUP(Y5,【参考】数式用3!$J$2:$K$26,2,FALSE),【参考】数式用3!$G$2:$I$2,0)),10))</f>
        <v>10.9</v>
      </c>
      <c r="Q5" s="1104"/>
      <c r="R5" s="1104"/>
      <c r="S5" s="1105" t="s">
        <v>2430</v>
      </c>
      <c r="T5" s="1106"/>
      <c r="U5" s="1106"/>
      <c r="V5" s="1106"/>
      <c r="W5" s="1106"/>
      <c r="X5" s="1107"/>
      <c r="Y5" s="1123" t="s">
        <v>281</v>
      </c>
      <c r="Z5" s="1123"/>
      <c r="AA5" s="1123"/>
      <c r="AB5" s="1123"/>
      <c r="AC5" s="1123"/>
      <c r="AD5" s="1123"/>
      <c r="AE5" s="1156">
        <v>385000</v>
      </c>
      <c r="AF5" s="1157"/>
      <c r="AG5" s="1157"/>
      <c r="AH5" s="1158"/>
      <c r="AI5" s="1156">
        <v>80000</v>
      </c>
      <c r="AJ5" s="1157"/>
      <c r="AK5" s="1157"/>
      <c r="AL5" s="1158"/>
      <c r="AM5" s="1159">
        <f>AE5-AI5</f>
        <v>305000</v>
      </c>
      <c r="AN5" s="1160"/>
      <c r="AO5" s="1160"/>
      <c r="AP5" s="1161"/>
      <c r="AS5" s="183"/>
      <c r="AT5" s="1010"/>
      <c r="AU5" s="1010"/>
      <c r="AV5" s="1010"/>
      <c r="AW5" s="1010"/>
      <c r="AX5" s="1010"/>
      <c r="AY5" s="1010"/>
      <c r="AZ5" s="1010"/>
      <c r="BA5" s="184"/>
      <c r="CE5" s="987" t="s">
        <v>2385</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2388</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2387</v>
      </c>
      <c r="CF7" s="1009"/>
      <c r="CG7" s="1009"/>
      <c r="CH7" s="1009"/>
      <c r="CI7" s="995" t="str">
        <f>IF(AND(AH62=1,AD41=""),1,"")</f>
        <v/>
      </c>
      <c r="CJ7" s="996"/>
    </row>
    <row r="8" spans="1:88" ht="17.25" customHeight="1" thickBot="1">
      <c r="B8" s="1110" t="s">
        <v>2327</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新加算Ⅱ</v>
      </c>
      <c r="W8" s="1142"/>
      <c r="X8" s="1142"/>
      <c r="Y8" s="1142"/>
      <c r="Z8" s="1143"/>
      <c r="AA8" s="1152"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2387</v>
      </c>
      <c r="CF8" s="1009"/>
      <c r="CG8" s="1009"/>
      <c r="CH8" s="1009"/>
      <c r="CI8" s="995" t="str">
        <f>IF(AND(AP62=1,AL41=""),1,"")</f>
        <v/>
      </c>
      <c r="CJ8" s="996"/>
    </row>
    <row r="9" spans="1:88" ht="26.25" customHeight="1">
      <c r="B9" s="1113" t="s">
        <v>267</v>
      </c>
      <c r="C9" s="1114"/>
      <c r="D9" s="1114"/>
      <c r="E9" s="1114"/>
      <c r="F9" s="1115"/>
      <c r="G9" s="1116" t="s">
        <v>13</v>
      </c>
      <c r="H9" s="1117"/>
      <c r="I9" s="1117"/>
      <c r="J9" s="1117"/>
      <c r="K9" s="1118"/>
      <c r="L9" s="1119" t="s">
        <v>15</v>
      </c>
      <c r="M9" s="1120"/>
      <c r="N9" s="1120"/>
      <c r="O9" s="1120"/>
      <c r="P9" s="1121"/>
      <c r="Q9" s="1108" t="s">
        <v>2200</v>
      </c>
      <c r="R9" s="1109"/>
      <c r="S9" s="1109"/>
      <c r="T9" s="1041"/>
      <c r="U9" s="1042"/>
      <c r="V9" s="1144">
        <f>IFERROR(VLOOKUP(Y5,【参考】数式用!$A$5:$AB$27,MATCH(V8,【参考】数式用!$B$4:$AB$4,0)+1,FALSE),"")</f>
        <v>8.9999999999999983E-2</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2387</v>
      </c>
      <c r="CF9" s="987"/>
      <c r="CG9" s="987"/>
      <c r="CH9" s="987"/>
      <c r="CI9" s="995" t="str">
        <f>IF(OR(AH62=1,AP62=1),1,"")</f>
        <v/>
      </c>
      <c r="CJ9" s="996"/>
    </row>
    <row r="10" spans="1:88" ht="11.25" customHeight="1">
      <c r="B10" s="1068">
        <f>IFERROR(VLOOKUP(Y5,【参考】数式用!$A$5:$J$27,MATCH(B9,【参考】数式用!$B$4:$J$4,0)+1,0),"")</f>
        <v>4.2999999999999997E-2</v>
      </c>
      <c r="C10" s="1069"/>
      <c r="D10" s="1069"/>
      <c r="E10" s="1069"/>
      <c r="F10" s="1070"/>
      <c r="G10" s="1068">
        <f>IFERROR(VLOOKUP(Y5,【参考】数式用!$A$5:$J$27,MATCH(G9,【参考】数式用!$B$4:$J$4,0)+1,0),"")</f>
        <v>0</v>
      </c>
      <c r="H10" s="1069"/>
      <c r="I10" s="1069"/>
      <c r="J10" s="1069"/>
      <c r="K10" s="1070"/>
      <c r="L10" s="1068">
        <f>IFERROR(VLOOKUP(Y5,【参考】数式用!$A$5:$J$27,MATCH(L9,【参考】数式用!$B$4:$J$4,0)+1,0),"")</f>
        <v>1.0999999999999999E-2</v>
      </c>
      <c r="M10" s="1069"/>
      <c r="N10" s="1069"/>
      <c r="O10" s="1069"/>
      <c r="P10" s="1070"/>
      <c r="Q10" s="1036">
        <f>SUM(B10,G10,L10)</f>
        <v>5.3999999999999992E-2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2390</v>
      </c>
      <c r="CF10" s="987"/>
      <c r="CG10" s="987"/>
      <c r="CH10" s="987"/>
      <c r="CI10" s="995">
        <f>IF(OR(AH63=1,AP63=1),1,0)</f>
        <v>1</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新加算Ⅲ</v>
      </c>
      <c r="W11" s="1138"/>
      <c r="X11" s="1138"/>
      <c r="Y11" s="1138"/>
      <c r="Z11" s="1138"/>
      <c r="AA11" s="1152" t="str">
        <f>IFERROR(VLOOKUP(AS1,【参考】数式用2!E6:L23,6,FALSE),"")</f>
        <v>キャリアパス要件Ⅲを「R6年度中の対応の誓約」で満たし、４月から旧処遇加算Ⅰを算定可。その場合、６月以降は自然と新加算Ⅲに移行可能。</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37"/>
      <c r="D12" s="1137"/>
      <c r="E12" s="1137"/>
      <c r="F12" s="1137"/>
      <c r="G12" s="1137"/>
      <c r="H12" s="1137"/>
      <c r="I12" s="1137"/>
      <c r="J12" s="1137"/>
      <c r="K12" s="1137"/>
      <c r="L12" s="1137"/>
      <c r="M12" s="1137"/>
      <c r="N12" s="1137"/>
      <c r="O12" s="1137"/>
      <c r="P12" s="1137"/>
      <c r="Q12" s="1137"/>
      <c r="R12" s="1137"/>
      <c r="S12" s="1137"/>
      <c r="T12" s="1043"/>
      <c r="U12" s="1042"/>
      <c r="V12" s="1148">
        <f>IFERROR(VLOOKUP(Y5,【参考】数式用!$A$5:$AB$27,MATCH(V11,【参考】数式用!$B$4:$AB$4,0)+1,FALSE),"")</f>
        <v>7.9999999999999988E-2</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2287</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新加算Ⅳ</v>
      </c>
      <c r="W14" s="1138"/>
      <c r="X14" s="1138"/>
      <c r="Y14" s="1138"/>
      <c r="Z14" s="1138"/>
      <c r="AA14" s="1162"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2281</v>
      </c>
      <c r="C15" s="1075"/>
      <c r="D15" s="147">
        <v>6</v>
      </c>
      <c r="E15" s="530" t="s">
        <v>2282</v>
      </c>
      <c r="F15" s="147">
        <v>4</v>
      </c>
      <c r="G15" s="530" t="s">
        <v>2283</v>
      </c>
      <c r="H15" s="1076" t="s">
        <v>2284</v>
      </c>
      <c r="I15" s="1076"/>
      <c r="J15" s="1089"/>
      <c r="K15" s="147">
        <v>7</v>
      </c>
      <c r="L15" s="530" t="s">
        <v>2282</v>
      </c>
      <c r="M15" s="147">
        <v>3</v>
      </c>
      <c r="N15" s="530" t="s">
        <v>2283</v>
      </c>
      <c r="O15" s="530" t="s">
        <v>2285</v>
      </c>
      <c r="P15" s="204">
        <f>(K15*12+M15)-(D15*12+F15)+1</f>
        <v>12</v>
      </c>
      <c r="Q15" s="1076" t="s">
        <v>2286</v>
      </c>
      <c r="R15" s="1076"/>
      <c r="S15" s="205" t="s">
        <v>74</v>
      </c>
      <c r="U15" s="528"/>
      <c r="V15" s="1077">
        <f>IFERROR(VLOOKUP(Y5,【参考】数式用!$A$5:$AB$27,MATCH(V14,【参考】数式用!$B$4:$AB$4,0)+1,FALSE),"")</f>
        <v>6.3999999999999987E-2</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091" t="s">
        <v>2294</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2368</v>
      </c>
      <c r="AD37" s="1179"/>
      <c r="AE37" s="1179"/>
      <c r="AF37" s="1179"/>
      <c r="AG37" s="1180">
        <v>1</v>
      </c>
      <c r="AH37" s="1181"/>
      <c r="AI37" s="1041"/>
      <c r="AJ37" s="1042"/>
      <c r="AK37" s="1178" t="s">
        <v>2368</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5" t="s">
        <v>2270</v>
      </c>
      <c r="AE41" s="1056"/>
      <c r="AF41" s="1056"/>
      <c r="AG41" s="1056"/>
      <c r="AH41" s="1057"/>
      <c r="AI41" s="1041"/>
      <c r="AJ41" s="1042"/>
      <c r="AK41" s="234" t="s">
        <v>90</v>
      </c>
      <c r="AL41" s="1055" t="s">
        <v>2270</v>
      </c>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2316</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
      </c>
      <c r="BB48" s="1013"/>
      <c r="BC48" s="1013"/>
      <c r="BD48" s="1013"/>
      <c r="BE48" s="1140" t="str">
        <f>AS48&amp;AW48&amp;BA48</f>
        <v>処遇加算Ⅰ特定加算Ⅱ</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060"/>
      <c r="Q49" s="1061" t="str">
        <f>IFERROR(IF(OR(L9="ベア加算",AND(L9="ベア加算なし",AH57=1)),"ベア加算",IF(AH57=2,"ベア加算なし","")),"")</f>
        <v>ベア加算</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5.8999999999999997E-2</v>
      </c>
      <c r="H50" s="1032"/>
      <c r="I50" s="1032"/>
      <c r="J50" s="1032"/>
      <c r="K50" s="1033"/>
      <c r="L50" s="1031">
        <f>IFERROR(VLOOKUP(Y5,【参考】数式用!$A$5:$J$27,MATCH(L49,【参考】数式用!$B$4:$J$4,0)+1,0),"")</f>
        <v>0.01</v>
      </c>
      <c r="M50" s="1032"/>
      <c r="N50" s="1032"/>
      <c r="O50" s="1032"/>
      <c r="P50" s="1034"/>
      <c r="Q50" s="1035">
        <f>IFERROR(VLOOKUP(Y5,【参考】数式用!$A$5:$J$27,MATCH(Q49,【参考】数式用!$B$4:$J$4,0)+1,0),"")</f>
        <v>1.0999999999999999E-2</v>
      </c>
      <c r="R50" s="1032"/>
      <c r="S50" s="1032"/>
      <c r="T50" s="1032"/>
      <c r="U50" s="1034"/>
      <c r="V50" s="1036">
        <f>SUM(G50,L50,Q50)</f>
        <v>7.9999999999999988E-2</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2293</v>
      </c>
      <c r="C51" s="1023"/>
      <c r="D51" s="1023"/>
      <c r="E51" s="1023"/>
      <c r="F51" s="1024"/>
      <c r="G51" s="1048">
        <f>IFERROR(ROUNDDOWN(ROUND(AM5*G50,0)*P5,0)*H53,"")</f>
        <v>392290</v>
      </c>
      <c r="H51" s="1048"/>
      <c r="I51" s="1048"/>
      <c r="J51" s="1048"/>
      <c r="K51" s="148" t="s">
        <v>2288</v>
      </c>
      <c r="L51" s="1051">
        <f>IFERROR(ROUNDDOWN(ROUND(AM5*L50,0)*P5,0)*H53,"")</f>
        <v>66490</v>
      </c>
      <c r="M51" s="1048"/>
      <c r="N51" s="1048"/>
      <c r="O51" s="1048"/>
      <c r="P51" s="148" t="s">
        <v>2288</v>
      </c>
      <c r="Q51" s="1051">
        <f>IFERROR(ROUNDDOWN(ROUND(AM5*Q50,0)*P5,0)*H53,"")</f>
        <v>73138</v>
      </c>
      <c r="R51" s="1048"/>
      <c r="S51" s="1048"/>
      <c r="T51" s="1048"/>
      <c r="U51" s="149" t="s">
        <v>2288</v>
      </c>
      <c r="V51" s="1058">
        <f>IFERROR(SUM(G51,L51,Q51),"")</f>
        <v>531918</v>
      </c>
      <c r="W51" s="1059"/>
      <c r="X51" s="1059"/>
      <c r="Y51" s="1059"/>
      <c r="Z51" s="150" t="s">
        <v>2288</v>
      </c>
      <c r="AB51" s="151"/>
      <c r="AC51" s="1051" t="str">
        <f>IFERROR(ROUNDDOWN(ROUND(AM5*AC50,0)*P5,0)*AD53,"")</f>
        <v/>
      </c>
      <c r="AD51" s="1048"/>
      <c r="AE51" s="1048"/>
      <c r="AF51" s="1048"/>
      <c r="AG51" s="1048"/>
      <c r="AH51" s="149" t="s">
        <v>2288</v>
      </c>
      <c r="AS51" s="1011">
        <f>IFERROR(ROUNDDOWN(ROUND(AM5*(G50-B10),0)*P5,0)*H53,"")</f>
        <v>106384</v>
      </c>
      <c r="AT51" s="1011"/>
      <c r="AU51" s="1011"/>
      <c r="AV51" s="1011"/>
      <c r="AW51" s="1011">
        <f>IFERROR(ROUNDDOWN(ROUND(AM5*(L50-G10),0)*P5,0)*H53,"")</f>
        <v>66490</v>
      </c>
      <c r="AX51" s="1011"/>
      <c r="AY51" s="1011"/>
      <c r="AZ51" s="1011"/>
      <c r="BA51" s="1011">
        <f>IFERROR(ROUNDDOWN(ROUND(AM5*(Q50-L10),0)*P5,0)*H53,"")</f>
        <v>0</v>
      </c>
      <c r="BB51" s="1011"/>
      <c r="BC51" s="1011"/>
      <c r="BD51" s="1011"/>
      <c r="BE51" s="1011" t="str">
        <f>IFERROR(ROUNDDOWN(ROUND(AM5*(AC50-Q10),0)*P5,0)*AD53,"")</f>
        <v/>
      </c>
      <c r="BF51" s="1011"/>
      <c r="BG51" s="1011"/>
      <c r="BH51" s="1011"/>
      <c r="BI51" s="1011">
        <f>SUM(AS51:BH51)</f>
        <v>172874</v>
      </c>
      <c r="BJ51" s="1011"/>
      <c r="BK51" s="1011"/>
      <c r="BL51" s="1011"/>
      <c r="BM51" s="241"/>
      <c r="BN51" s="1011">
        <f>IFERROR(ROUNDDOWN(ROUNDDOWN(ROUND(AM5*(VLOOKUP(Y5,【参考】数式用!$A$5:$AB$27,14,FALSE)),0)*P5,0)*AD53*0.5,0),"")</f>
        <v>1063840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4" t="str">
        <f>IFERROR("("&amp;TEXT(G51/H53,"#,##0円")&amp;"/月)","")</f>
        <v>(196,145円/月)</v>
      </c>
      <c r="H52" s="1050"/>
      <c r="I52" s="1050"/>
      <c r="J52" s="1050"/>
      <c r="K52" s="1050"/>
      <c r="L52" s="1050" t="str">
        <f>IFERROR("("&amp;TEXT(L51/H53,"#,##0円")&amp;"/月)","")</f>
        <v>(33,245円/月)</v>
      </c>
      <c r="M52" s="1050"/>
      <c r="N52" s="1050"/>
      <c r="O52" s="1050"/>
      <c r="P52" s="1050"/>
      <c r="Q52" s="1050" t="str">
        <f>IFERROR("("&amp;TEXT(Q51/H53,"#,##0円")&amp;"/月)","")</f>
        <v>(36,569円/月)</v>
      </c>
      <c r="R52" s="1050"/>
      <c r="S52" s="1050"/>
      <c r="T52" s="1050"/>
      <c r="U52" s="1050"/>
      <c r="V52" s="1050" t="str">
        <f>IFERROR("("&amp;TEXT(V51/H53,"#,##0円")&amp;"/月)","")</f>
        <v>(265,959円/月)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2419</v>
      </c>
      <c r="AT56" s="1169"/>
      <c r="AU56" s="1169"/>
      <c r="AV56" s="1169"/>
      <c r="AW56" s="1169" t="s">
        <v>2418</v>
      </c>
      <c r="AX56" s="1169"/>
      <c r="AY56" s="1169"/>
      <c r="AZ56" s="1169"/>
    </row>
    <row r="57" spans="2:86" ht="15.95" customHeight="1">
      <c r="U57" s="1012" t="s">
        <v>2203</v>
      </c>
      <c r="V57" s="1012"/>
      <c r="W57" s="1012"/>
      <c r="X57" s="1012"/>
      <c r="Y57" s="1012"/>
      <c r="Z57" s="527">
        <f>IF(AND(B9&lt;&gt;"処遇加算なし",F15=4),IF(V21="✓",1,IF(V22="✓",2,"")),"")</f>
        <v>1</v>
      </c>
      <c r="AA57" s="245"/>
      <c r="AB57" s="249"/>
      <c r="AC57" s="1012" t="s">
        <v>2203</v>
      </c>
      <c r="AD57" s="1012"/>
      <c r="AE57" s="1012"/>
      <c r="AF57" s="1012"/>
      <c r="AG57" s="1012"/>
      <c r="AH57" s="170">
        <v>0</v>
      </c>
      <c r="AI57" s="253"/>
      <c r="AJ57" s="249"/>
      <c r="AK57" s="1012" t="s">
        <v>2203</v>
      </c>
      <c r="AL57" s="1012"/>
      <c r="AM57" s="1012"/>
      <c r="AN57" s="1012"/>
      <c r="AO57" s="1012"/>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24" t="s">
        <v>2204</v>
      </c>
      <c r="V58" s="1124"/>
      <c r="W58" s="1124"/>
      <c r="X58" s="1124"/>
      <c r="Y58" s="1124"/>
      <c r="Z58" s="527">
        <f>IF(AND(B9&lt;&gt;"処遇加算なし",F15=4),IF(V24="✓",1,IF(V25="✓",2,IF(V26="✓",3,""))),"")</f>
        <v>1</v>
      </c>
      <c r="AA58" s="245"/>
      <c r="AB58" s="249"/>
      <c r="AC58" s="1124" t="s">
        <v>2204</v>
      </c>
      <c r="AD58" s="1124"/>
      <c r="AE58" s="1124"/>
      <c r="AF58" s="1124"/>
      <c r="AG58" s="1124"/>
      <c r="AH58" s="170">
        <v>1</v>
      </c>
      <c r="AI58" s="253"/>
      <c r="AJ58" s="249"/>
      <c r="AK58" s="1124" t="s">
        <v>2204</v>
      </c>
      <c r="AL58" s="1124"/>
      <c r="AM58" s="1124"/>
      <c r="AN58" s="1124"/>
      <c r="AO58" s="1124"/>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24" t="s">
        <v>2205</v>
      </c>
      <c r="V59" s="1124"/>
      <c r="W59" s="1124"/>
      <c r="X59" s="1124"/>
      <c r="Y59" s="1124"/>
      <c r="Z59" s="527">
        <f>IF(AND(B9&lt;&gt;"処遇加算なし",F15=4),IF(V28="✓",1,IF(V29="✓",2,IF(V30="✓",3,""))),"")</f>
        <v>1</v>
      </c>
      <c r="AA59" s="245"/>
      <c r="AB59" s="249"/>
      <c r="AC59" s="1124" t="s">
        <v>2205</v>
      </c>
      <c r="AD59" s="1124"/>
      <c r="AE59" s="1124"/>
      <c r="AF59" s="1124"/>
      <c r="AG59" s="1124"/>
      <c r="AH59" s="170">
        <v>1</v>
      </c>
      <c r="AI59" s="253"/>
      <c r="AJ59" s="249"/>
      <c r="AK59" s="1124" t="s">
        <v>2205</v>
      </c>
      <c r="AL59" s="1124"/>
      <c r="AM59" s="1124"/>
      <c r="AN59" s="1124"/>
      <c r="AO59" s="1124"/>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24" t="s">
        <v>2206</v>
      </c>
      <c r="V60" s="1124"/>
      <c r="W60" s="1124"/>
      <c r="X60" s="1124"/>
      <c r="Y60" s="1124"/>
      <c r="Z60" s="527">
        <f>IF(AND(B9&lt;&gt;"処遇加算なし",F15=4),IF(V32="✓",1,IF(V33="✓",2,"")),"")</f>
        <v>2</v>
      </c>
      <c r="AA60" s="245"/>
      <c r="AB60" s="249"/>
      <c r="AC60" s="1124" t="s">
        <v>2206</v>
      </c>
      <c r="AD60" s="1124"/>
      <c r="AE60" s="1124"/>
      <c r="AF60" s="1124"/>
      <c r="AG60" s="1124"/>
      <c r="AH60" s="170">
        <v>2</v>
      </c>
      <c r="AI60" s="253"/>
      <c r="AJ60" s="249"/>
      <c r="AK60" s="1124" t="s">
        <v>2206</v>
      </c>
      <c r="AL60" s="1124"/>
      <c r="AM60" s="1124"/>
      <c r="AN60" s="1124"/>
      <c r="AO60" s="1124"/>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24" t="s">
        <v>2207</v>
      </c>
      <c r="V61" s="1124"/>
      <c r="W61" s="1124"/>
      <c r="X61" s="1124"/>
      <c r="Y61" s="1124"/>
      <c r="Z61" s="527">
        <f>IF(AND(B9&lt;&gt;"処遇加算なし",F15=4),IF(V36="✓",1,IF(V37="✓",2,"")),"")</f>
        <v>2</v>
      </c>
      <c r="AA61" s="245"/>
      <c r="AB61" s="249"/>
      <c r="AC61" s="1124" t="s">
        <v>2207</v>
      </c>
      <c r="AD61" s="1124"/>
      <c r="AE61" s="1124"/>
      <c r="AF61" s="1124"/>
      <c r="AG61" s="1124"/>
      <c r="AH61" s="170">
        <v>1</v>
      </c>
      <c r="AI61" s="253"/>
      <c r="AJ61" s="249"/>
      <c r="AK61" s="1124" t="s">
        <v>2207</v>
      </c>
      <c r="AL61" s="1124"/>
      <c r="AM61" s="1124"/>
      <c r="AN61" s="1124"/>
      <c r="AO61" s="1124"/>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24" t="s">
        <v>2208</v>
      </c>
      <c r="V62" s="1124"/>
      <c r="W62" s="1124"/>
      <c r="X62" s="1124"/>
      <c r="Y62" s="1124"/>
      <c r="Z62" s="527">
        <f>IF(AND(B9&lt;&gt;"処遇加算なし",F15=4),IF(V40="✓",1,IF(V41="✓",2,"")),"")</f>
        <v>2</v>
      </c>
      <c r="AA62" s="245"/>
      <c r="AB62" s="249"/>
      <c r="AC62" s="1124" t="s">
        <v>2208</v>
      </c>
      <c r="AD62" s="1124"/>
      <c r="AE62" s="1124"/>
      <c r="AF62" s="1124"/>
      <c r="AG62" s="1124"/>
      <c r="AH62" s="170">
        <v>2</v>
      </c>
      <c r="AI62" s="253"/>
      <c r="AJ62" s="249"/>
      <c r="AK62" s="1124" t="s">
        <v>2208</v>
      </c>
      <c r="AL62" s="1124"/>
      <c r="AM62" s="1124"/>
      <c r="AN62" s="1124"/>
      <c r="AO62" s="1124"/>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00000000-0002-0000-0200-000000000000}">
      <formula1>0</formula1>
    </dataValidation>
    <dataValidation type="list" allowBlank="1" showInputMessage="1" showErrorMessage="1" sqref="AL41:AP41" xr:uid="{00000000-0002-0000-0200-000001000000}">
      <formula1>INDIRECT(BF1)</formula1>
    </dataValidation>
    <dataValidation type="list" allowBlank="1" showInputMessage="1" showErrorMessage="1" sqref="AD41:AH41" xr:uid="{00000000-0002-0000-02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200-000003000000}">
      <formula1>10</formula1>
    </dataValidation>
    <dataValidation type="list" allowBlank="1" showInputMessage="1" showErrorMessage="1" sqref="K15:K16 D15:D16" xr:uid="{00000000-0002-0000-0200-000004000000}">
      <formula1>"6,7"</formula1>
    </dataValidation>
    <dataValidation type="list" allowBlank="1" showInputMessage="1" showErrorMessage="1" sqref="M15:M16" xr:uid="{00000000-0002-0000-0200-000005000000}">
      <formula1>"1,2,3,6,7,8,9,10,11,12"</formula1>
    </dataValidation>
    <dataValidation type="list" allowBlank="1" showInputMessage="1" showErrorMessage="1" sqref="M5:O5" xr:uid="{00000000-0002-0000-0200-000006000000}">
      <formula1>INDIRECT(J5)</formula1>
    </dataValidation>
    <dataValidation type="list" allowBlank="1" showInputMessage="1" showErrorMessage="1" sqref="Y5" xr:uid="{00000000-0002-0000-0200-000007000000}">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8000000}">
          <x14:formula1>
            <xm:f>【参考】数式用!$B$4:$E$4</xm:f>
          </x14:formula1>
          <xm:sqref>B9:F9</xm:sqref>
        </x14:dataValidation>
        <x14:dataValidation type="list" allowBlank="1" showInputMessage="1" showErrorMessage="1" xr:uid="{00000000-0002-0000-0200-000009000000}">
          <x14:formula1>
            <xm:f>【参考】数式用!$F$4:$H$4</xm:f>
          </x14:formula1>
          <xm:sqref>G9</xm:sqref>
        </x14:dataValidation>
        <x14:dataValidation type="list" allowBlank="1" showInputMessage="1" showErrorMessage="1" xr:uid="{00000000-0002-0000-0200-00000A000000}">
          <x14:formula1>
            <xm:f>【参考】数式用!$I$4:$J$4</xm:f>
          </x14:formula1>
          <xm:sqref>L9</xm:sqref>
        </x14:dataValidation>
        <x14:dataValidation type="list" allowBlank="1" showInputMessage="1" showErrorMessage="1" xr:uid="{00000000-0002-0000-0200-00000B00000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2291</v>
      </c>
      <c r="M1" s="173"/>
      <c r="N1" s="1147" t="s">
        <v>2431</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2389</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2392</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7" t="s">
        <v>2386</v>
      </c>
      <c r="CF3" s="987"/>
      <c r="CG3" s="987"/>
      <c r="CH3" s="987"/>
      <c r="CI3" s="993" t="str">
        <f>IF(AND(L9="ベア加算",Q49="ベア加算"),1,"")</f>
        <v/>
      </c>
      <c r="CJ3" s="994"/>
    </row>
    <row r="4" spans="1:88" ht="25.5" customHeight="1">
      <c r="B4" s="1125" t="s">
        <v>2292</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2391</v>
      </c>
      <c r="CF4" s="987"/>
      <c r="CG4" s="987"/>
      <c r="CH4" s="987"/>
      <c r="CI4" s="995">
        <f>IF(OR(OR(G49="処遇加算Ⅰ",G49="処遇加算Ⅱ"),OR(AS48="処遇加算Ⅰ",AS48="処遇加算Ⅱ")),1,"")</f>
        <v>1</v>
      </c>
      <c r="CJ4" s="996"/>
    </row>
    <row r="5" spans="1:88" ht="33" customHeight="1">
      <c r="B5" s="1139">
        <v>1334567892</v>
      </c>
      <c r="C5" s="1139"/>
      <c r="D5" s="1139"/>
      <c r="E5" s="1139"/>
      <c r="F5" s="1139"/>
      <c r="G5" s="1100" t="s">
        <v>2435</v>
      </c>
      <c r="H5" s="1100"/>
      <c r="I5" s="1100"/>
      <c r="J5" s="1101" t="s">
        <v>5</v>
      </c>
      <c r="K5" s="1101"/>
      <c r="L5" s="1101"/>
      <c r="M5" s="1102" t="s">
        <v>6</v>
      </c>
      <c r="N5" s="1102"/>
      <c r="O5" s="1102"/>
      <c r="P5" s="1103">
        <f>IF(Y5="","",IFERROR(INDEX(【参考】数式用3!$G$3:$I$451,MATCH(M5,【参考】数式用3!$F$3:$F$451,0),MATCH(VLOOKUP(Y5,【参考】数式用3!$J$2:$K$26,2,FALSE),【参考】数式用3!$G$2:$I$2,0)),10))</f>
        <v>10.9</v>
      </c>
      <c r="Q5" s="1104"/>
      <c r="R5" s="1104"/>
      <c r="S5" s="1105" t="s">
        <v>2434</v>
      </c>
      <c r="T5" s="1106"/>
      <c r="U5" s="1106"/>
      <c r="V5" s="1106"/>
      <c r="W5" s="1106"/>
      <c r="X5" s="1107"/>
      <c r="Y5" s="1123" t="s">
        <v>284</v>
      </c>
      <c r="Z5" s="1123"/>
      <c r="AA5" s="1123"/>
      <c r="AB5" s="1123"/>
      <c r="AC5" s="1123"/>
      <c r="AD5" s="1123"/>
      <c r="AE5" s="1156">
        <v>325000</v>
      </c>
      <c r="AF5" s="1157"/>
      <c r="AG5" s="1157"/>
      <c r="AH5" s="1158"/>
      <c r="AI5" s="1156">
        <v>0</v>
      </c>
      <c r="AJ5" s="1157"/>
      <c r="AK5" s="1157"/>
      <c r="AL5" s="1158"/>
      <c r="AM5" s="1159">
        <f>AE5-AI5</f>
        <v>325000</v>
      </c>
      <c r="AN5" s="1160"/>
      <c r="AO5" s="1160"/>
      <c r="AP5" s="1161"/>
      <c r="AS5" s="183"/>
      <c r="AT5" s="1010"/>
      <c r="AU5" s="1010"/>
      <c r="AV5" s="1010"/>
      <c r="AW5" s="1010"/>
      <c r="AX5" s="1010"/>
      <c r="AY5" s="1010"/>
      <c r="AZ5" s="1010"/>
      <c r="BA5" s="184"/>
      <c r="CE5" s="987" t="s">
        <v>2385</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2388</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2387</v>
      </c>
      <c r="CF7" s="1009"/>
      <c r="CG7" s="1009"/>
      <c r="CH7" s="1009"/>
      <c r="CI7" s="995" t="str">
        <f>IF(AND(AH62=1,AD41=""),1,"")</f>
        <v/>
      </c>
      <c r="CJ7" s="996"/>
    </row>
    <row r="8" spans="1:88" ht="17.25" customHeight="1" thickBot="1">
      <c r="B8" s="1110" t="s">
        <v>2327</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2387</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2387</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2390</v>
      </c>
      <c r="CF10" s="987"/>
      <c r="CG10" s="987"/>
      <c r="CH10" s="987"/>
      <c r="CI10" s="995">
        <f>IF(OR(AH63=1,AP63=1),1,0)</f>
        <v>1</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2287</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2281</v>
      </c>
      <c r="C15" s="1075"/>
      <c r="D15" s="147">
        <v>6</v>
      </c>
      <c r="E15" s="530" t="s">
        <v>2282</v>
      </c>
      <c r="F15" s="533">
        <v>10</v>
      </c>
      <c r="G15" s="530" t="s">
        <v>2283</v>
      </c>
      <c r="H15" s="1076" t="s">
        <v>2284</v>
      </c>
      <c r="I15" s="1076"/>
      <c r="J15" s="1089"/>
      <c r="K15" s="147">
        <v>7</v>
      </c>
      <c r="L15" s="530" t="s">
        <v>2282</v>
      </c>
      <c r="M15" s="147">
        <v>3</v>
      </c>
      <c r="N15" s="530" t="s">
        <v>2283</v>
      </c>
      <c r="O15" s="530" t="s">
        <v>2285</v>
      </c>
      <c r="P15" s="204">
        <f>(K15*12+M15)-(D15*12+F15)+1</f>
        <v>6</v>
      </c>
      <c r="Q15" s="1076" t="s">
        <v>2286</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2294</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2368</v>
      </c>
      <c r="AD37" s="1179"/>
      <c r="AE37" s="1179"/>
      <c r="AF37" s="1179"/>
      <c r="AG37" s="1180">
        <v>1</v>
      </c>
      <c r="AH37" s="1181"/>
      <c r="AI37" s="1041"/>
      <c r="AJ37" s="1042"/>
      <c r="AK37" s="1178" t="s">
        <v>2368</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サービス提供体制強化加算Ⅰ、Ⅱ、Ⅲイまたはロを算定する。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t="s">
        <v>2270</v>
      </c>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2316</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R6.10～R7.3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ベア加算</v>
      </c>
      <c r="BB48" s="1013"/>
      <c r="BC48" s="1013"/>
      <c r="BD48" s="1013"/>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f>IFERROR(VLOOKUP(Y5,【参考】数式用!$A$5:$AB$27,MATCH(AC49,【参考】数式用!$B$4:$AB$4,0)+1,FALSE),"")</f>
        <v>8.9999999999999983E-2</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2293</v>
      </c>
      <c r="C51" s="1023"/>
      <c r="D51" s="1023"/>
      <c r="E51" s="1023"/>
      <c r="F51" s="1024"/>
      <c r="G51" s="1048" t="str">
        <f>IFERROR(ROUNDDOWN(ROUND(AM5*G50,0)*P5,0)*H53,"")</f>
        <v/>
      </c>
      <c r="H51" s="1048"/>
      <c r="I51" s="1048"/>
      <c r="J51" s="1048"/>
      <c r="K51" s="148" t="s">
        <v>2288</v>
      </c>
      <c r="L51" s="1051" t="str">
        <f>IFERROR(ROUNDDOWN(ROUND(AM5*L50,0)*P5,0)*H53,"")</f>
        <v/>
      </c>
      <c r="M51" s="1048"/>
      <c r="N51" s="1048"/>
      <c r="O51" s="1048"/>
      <c r="P51" s="148" t="s">
        <v>2288</v>
      </c>
      <c r="Q51" s="1051" t="str">
        <f>IFERROR(ROUNDDOWN(ROUND(AM5*Q50,0)*P5,0)*H53,"")</f>
        <v/>
      </c>
      <c r="R51" s="1048"/>
      <c r="S51" s="1048"/>
      <c r="T51" s="1048"/>
      <c r="U51" s="149" t="s">
        <v>2288</v>
      </c>
      <c r="V51" s="1058">
        <f>IFERROR(SUM(G51,L51,Q51),"")</f>
        <v>0</v>
      </c>
      <c r="W51" s="1059"/>
      <c r="X51" s="1059"/>
      <c r="Y51" s="1059"/>
      <c r="Z51" s="150" t="s">
        <v>2288</v>
      </c>
      <c r="AB51" s="151"/>
      <c r="AC51" s="1051">
        <f>IFERROR(ROUNDDOWN(ROUND(AM5*AC50,0)*P5,0)*AD53,"")</f>
        <v>1912950</v>
      </c>
      <c r="AD51" s="1048"/>
      <c r="AE51" s="1048"/>
      <c r="AF51" s="1048"/>
      <c r="AG51" s="1048"/>
      <c r="AH51" s="149" t="s">
        <v>2288</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f>IFERROR(ROUNDDOWN(ROUND(AM5*(AC50-Q10),0)*P5,0)*AD53,"")</f>
        <v>1912950</v>
      </c>
      <c r="BF51" s="1011"/>
      <c r="BG51" s="1011"/>
      <c r="BH51" s="1011"/>
      <c r="BI51" s="1011">
        <f>SUM(AS51:BH51)</f>
        <v>1912950</v>
      </c>
      <c r="BJ51" s="1011"/>
      <c r="BK51" s="1011"/>
      <c r="BL51" s="1011"/>
      <c r="BM51" s="241"/>
      <c r="BN51" s="1011">
        <f>IFERROR(ROUNDDOWN(ROUNDDOWN(ROUND(AM5*(VLOOKUP(Y5,【参考】数式用!$A$5:$AB$27,14,FALSE)),0)*P5,0)*AD53*0.5,0),"")</f>
        <v>680160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
      </c>
      <c r="W52" s="1050"/>
      <c r="X52" s="1050"/>
      <c r="Y52" s="1050"/>
      <c r="Z52" s="1050"/>
      <c r="AB52" s="151"/>
      <c r="AC52" s="1052" t="str">
        <f>IFERROR("("&amp;TEXT(AC51/AD53,"#,##0円")&amp;"/月)","")</f>
        <v>(318,825円/月)</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2289</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9" t="s">
        <v>2419</v>
      </c>
      <c r="AT56" s="1169"/>
      <c r="AU56" s="1169"/>
      <c r="AV56" s="1169"/>
      <c r="AW56" s="1169" t="s">
        <v>2418</v>
      </c>
      <c r="AX56" s="1169"/>
      <c r="AY56" s="1169"/>
      <c r="AZ56" s="1169"/>
    </row>
    <row r="57" spans="2:86"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534">
        <f>IF(AND(F15&lt;&gt;4,F15&lt;&gt;5),0,IF(AU8="○",1,3))</f>
        <v>0</v>
      </c>
      <c r="AI58" s="253"/>
      <c r="AJ58" s="249"/>
      <c r="AK58" s="1124" t="s">
        <v>2204</v>
      </c>
      <c r="AL58" s="1124"/>
      <c r="AM58" s="1124"/>
      <c r="AN58" s="1124"/>
      <c r="AO58" s="1124"/>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534">
        <f>IF(AND(F15&lt;&gt;4,F15&lt;&gt;5),0,IF(AV8="○",1,3))</f>
        <v>0</v>
      </c>
      <c r="AI59" s="253"/>
      <c r="AJ59" s="249"/>
      <c r="AK59" s="1124" t="s">
        <v>2205</v>
      </c>
      <c r="AL59" s="1124"/>
      <c r="AM59" s="1124"/>
      <c r="AN59" s="1124"/>
      <c r="AO59" s="1124"/>
      <c r="AP59" s="170">
        <v>2</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534">
        <f>IF(AND(F15&lt;&gt;4,F15&lt;&gt;5),0,IF(AW8="○",1,3))</f>
        <v>0</v>
      </c>
      <c r="AI60" s="253"/>
      <c r="AJ60" s="249"/>
      <c r="AK60" s="1124" t="s">
        <v>2206</v>
      </c>
      <c r="AL60" s="1124"/>
      <c r="AM60" s="1124"/>
      <c r="AN60" s="1124"/>
      <c r="AO60" s="1124"/>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534">
        <f>IF(AND(F15&lt;&gt;4,F15&lt;&gt;5),0,IF(AX8="○",1,2))</f>
        <v>0</v>
      </c>
      <c r="AI61" s="253"/>
      <c r="AJ61" s="249"/>
      <c r="AK61" s="1124" t="s">
        <v>2207</v>
      </c>
      <c r="AL61" s="1124"/>
      <c r="AM61" s="1124"/>
      <c r="AN61" s="1124"/>
      <c r="AO61" s="1124"/>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534">
        <f>IF(AND(F15&lt;&gt;4,F15&lt;&gt;5),0,IF(AY8="○",1,2))</f>
        <v>0</v>
      </c>
      <c r="AI62" s="253"/>
      <c r="AJ62" s="249"/>
      <c r="AK62" s="1124" t="s">
        <v>2208</v>
      </c>
      <c r="AL62" s="1124"/>
      <c r="AM62" s="1124"/>
      <c r="AN62" s="1124"/>
      <c r="AO62" s="1124"/>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534">
        <f>IF(AND(F15&lt;&gt;4,F15&lt;&gt;5),0,IF(AZ8="○",1,2))</f>
        <v>0</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00000000-0002-0000-0300-000000000000}">
      <formula1>サービス名</formula1>
    </dataValidation>
    <dataValidation type="list" allowBlank="1" showInputMessage="1" showErrorMessage="1" sqref="M5:O5" xr:uid="{00000000-0002-0000-0300-000001000000}">
      <formula1>INDIRECT(J5)</formula1>
    </dataValidation>
    <dataValidation type="list" allowBlank="1" showInputMessage="1" showErrorMessage="1" sqref="M15:M16" xr:uid="{00000000-0002-0000-0300-000002000000}">
      <formula1>"1,2,3,6,7,8,9,10,11,12"</formula1>
    </dataValidation>
    <dataValidation type="list" allowBlank="1" showInputMessage="1" showErrorMessage="1" sqref="K15:K16 D15:D16" xr:uid="{00000000-0002-0000-03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300-000004000000}">
      <formula1>10</formula1>
    </dataValidation>
    <dataValidation type="list" allowBlank="1" showInputMessage="1" showErrorMessage="1" sqref="AD41:AH41" xr:uid="{00000000-0002-0000-0300-000005000000}">
      <formula1>INDIRECT(BF1)</formula1>
    </dataValidation>
    <dataValidation type="list" allowBlank="1" showInputMessage="1" showErrorMessage="1" sqref="AL41:AP41" xr:uid="{00000000-0002-0000-0300-000006000000}">
      <formula1>INDIRECT(BF1)</formula1>
    </dataValidation>
    <dataValidation type="whole" operator="greaterThanOrEqual" allowBlank="1" showInputMessage="1" showErrorMessage="1" prompt="要件を満たす職員数を記入してください。" sqref="AG37:AH37 AO37:AP37" xr:uid="{00000000-0002-0000-0300-000007000000}">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8000000}">
          <x14:formula1>
            <xm:f>【参考】数式用3!$A$3:$A$49</xm:f>
          </x14:formula1>
          <xm:sqref>J5:L5</xm:sqref>
        </x14:dataValidation>
        <x14:dataValidation type="list" allowBlank="1" showInputMessage="1" showErrorMessage="1" xr:uid="{00000000-0002-0000-0300-000009000000}">
          <x14:formula1>
            <xm:f>【参考】数式用!$I$4:$J$4</xm:f>
          </x14:formula1>
          <xm:sqref>L9</xm:sqref>
        </x14:dataValidation>
        <x14:dataValidation type="list" allowBlank="1" showInputMessage="1" showErrorMessage="1" xr:uid="{00000000-0002-0000-0300-00000A000000}">
          <x14:formula1>
            <xm:f>【参考】数式用!$F$4:$H$4</xm:f>
          </x14:formula1>
          <xm:sqref>G9</xm:sqref>
        </x14:dataValidation>
        <x14:dataValidation type="list" allowBlank="1" showInputMessage="1" showErrorMessage="1" xr:uid="{00000000-0002-0000-0300-00000B00000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2291</v>
      </c>
      <c r="M1" s="173"/>
      <c r="N1" s="1147" t="s">
        <v>2423</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2389</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2392</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7" t="s">
        <v>2386</v>
      </c>
      <c r="CF3" s="987"/>
      <c r="CG3" s="987"/>
      <c r="CH3" s="987"/>
      <c r="CI3" s="993" t="str">
        <f>IF(AND(L9="ベア加算",Q49="ベア加算"),1,"")</f>
        <v/>
      </c>
      <c r="CJ3" s="994"/>
    </row>
    <row r="4" spans="1:88" ht="25.5" customHeight="1">
      <c r="B4" s="1125" t="s">
        <v>2292</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2391</v>
      </c>
      <c r="CF4" s="987"/>
      <c r="CG4" s="987"/>
      <c r="CH4" s="987"/>
      <c r="CI4" s="995">
        <f>IF(OR(OR(G49="処遇加算Ⅰ",G49="処遇加算Ⅱ"),OR(AS48="処遇加算Ⅰ",AS48="処遇加算Ⅱ")),1,"")</f>
        <v>1</v>
      </c>
      <c r="CJ4" s="996"/>
    </row>
    <row r="5" spans="1:88" ht="33" customHeight="1">
      <c r="B5" s="1139">
        <v>1334567893</v>
      </c>
      <c r="C5" s="1139"/>
      <c r="D5" s="1139"/>
      <c r="E5" s="1139"/>
      <c r="F5" s="1139"/>
      <c r="G5" s="1100" t="s">
        <v>2432</v>
      </c>
      <c r="H5" s="1100"/>
      <c r="I5" s="1100"/>
      <c r="J5" s="1101" t="s">
        <v>5</v>
      </c>
      <c r="K5" s="1101"/>
      <c r="L5" s="1101"/>
      <c r="M5" s="1102" t="s">
        <v>1320</v>
      </c>
      <c r="N5" s="1102"/>
      <c r="O5" s="1102"/>
      <c r="P5" s="1103">
        <f>IF(Y5="","",IFERROR(INDEX(【参考】数式用3!$G$3:$I$451,MATCH(M5,【参考】数式用3!$F$3:$F$451,0),MATCH(VLOOKUP(Y5,【参考】数式用3!$J$2:$K$26,2,FALSE),【参考】数式用3!$G$2:$I$2,0)),10))</f>
        <v>11.1</v>
      </c>
      <c r="Q5" s="1104"/>
      <c r="R5" s="1104"/>
      <c r="S5" s="1105" t="s">
        <v>2433</v>
      </c>
      <c r="T5" s="1106"/>
      <c r="U5" s="1106"/>
      <c r="V5" s="1106"/>
      <c r="W5" s="1106"/>
      <c r="X5" s="1107"/>
      <c r="Y5" s="1123" t="s">
        <v>292</v>
      </c>
      <c r="Z5" s="1123"/>
      <c r="AA5" s="1123"/>
      <c r="AB5" s="1123"/>
      <c r="AC5" s="1123"/>
      <c r="AD5" s="1123"/>
      <c r="AE5" s="1156">
        <v>425000</v>
      </c>
      <c r="AF5" s="1157"/>
      <c r="AG5" s="1157"/>
      <c r="AH5" s="1158"/>
      <c r="AI5" s="1156">
        <v>80000</v>
      </c>
      <c r="AJ5" s="1157"/>
      <c r="AK5" s="1157"/>
      <c r="AL5" s="1158"/>
      <c r="AM5" s="1159">
        <f>AE5-AI5</f>
        <v>345000</v>
      </c>
      <c r="AN5" s="1160"/>
      <c r="AO5" s="1160"/>
      <c r="AP5" s="1161"/>
      <c r="AS5" s="183"/>
      <c r="AT5" s="1010"/>
      <c r="AU5" s="1010"/>
      <c r="AV5" s="1010"/>
      <c r="AW5" s="1010"/>
      <c r="AX5" s="1010"/>
      <c r="AY5" s="1010"/>
      <c r="AZ5" s="1010"/>
      <c r="BA5" s="184"/>
      <c r="CE5" s="987" t="s">
        <v>2385</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2388</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2387</v>
      </c>
      <c r="CF7" s="1009"/>
      <c r="CG7" s="1009"/>
      <c r="CH7" s="1009"/>
      <c r="CI7" s="995" t="str">
        <f>IF(AND(AH62=1,AD41=""),1,"")</f>
        <v/>
      </c>
      <c r="CJ7" s="996"/>
    </row>
    <row r="8" spans="1:88" ht="17.25" customHeight="1" thickBot="1">
      <c r="B8" s="1110" t="s">
        <v>2327</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新加算Ⅳ</v>
      </c>
      <c r="W8" s="1142"/>
      <c r="X8" s="1142"/>
      <c r="Y8" s="1142"/>
      <c r="Z8" s="1143"/>
      <c r="AA8" s="1152"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2387</v>
      </c>
      <c r="CF8" s="1009"/>
      <c r="CG8" s="1009"/>
      <c r="CH8" s="1009"/>
      <c r="CI8" s="995" t="str">
        <f>IF(AND(AP62=1,AL41=""),1,"")</f>
        <v/>
      </c>
      <c r="CJ8" s="996"/>
    </row>
    <row r="9" spans="1:88" ht="26.25" customHeight="1">
      <c r="B9" s="1113" t="s">
        <v>268</v>
      </c>
      <c r="C9" s="1114"/>
      <c r="D9" s="1114"/>
      <c r="E9" s="1114"/>
      <c r="F9" s="1115"/>
      <c r="G9" s="1116" t="s">
        <v>13</v>
      </c>
      <c r="H9" s="1117"/>
      <c r="I9" s="1117"/>
      <c r="J9" s="1117"/>
      <c r="K9" s="1118"/>
      <c r="L9" s="1119" t="s">
        <v>11</v>
      </c>
      <c r="M9" s="1120"/>
      <c r="N9" s="1120"/>
      <c r="O9" s="1120"/>
      <c r="P9" s="1121"/>
      <c r="Q9" s="1108" t="s">
        <v>2200</v>
      </c>
      <c r="R9" s="1109"/>
      <c r="S9" s="1109"/>
      <c r="T9" s="1041"/>
      <c r="U9" s="1042"/>
      <c r="V9" s="1144">
        <f>IFERROR(VLOOKUP(Y5,【参考】数式用!$A$5:$AB$27,MATCH(V8,【参考】数式用!$B$4:$AB$4,0)+1,FALSE),"")</f>
        <v>0.106</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2387</v>
      </c>
      <c r="CF9" s="987"/>
      <c r="CG9" s="987"/>
      <c r="CH9" s="987"/>
      <c r="CI9" s="995" t="str">
        <f>IF(OR(AH62=1,AP62=1),1,"")</f>
        <v/>
      </c>
      <c r="CJ9" s="996"/>
    </row>
    <row r="10" spans="1:88" ht="11.25" customHeight="1">
      <c r="B10" s="1068">
        <f>IFERROR(VLOOKUP(Y5,【参考】数式用!$A$5:$J$27,MATCH(B9,【参考】数式用!$B$4:$J$4,0)+1,0),"")</f>
        <v>4.1000000000000002E-2</v>
      </c>
      <c r="C10" s="1069"/>
      <c r="D10" s="1069"/>
      <c r="E10" s="1069"/>
      <c r="F10" s="1070"/>
      <c r="G10" s="1068">
        <f>IFERROR(VLOOKUP(Y5,【参考】数式用!$A$5:$J$27,MATCH(G9,【参考】数式用!$B$4:$J$4,0)+1,0),"")</f>
        <v>0</v>
      </c>
      <c r="H10" s="1069"/>
      <c r="I10" s="1069"/>
      <c r="J10" s="1069"/>
      <c r="K10" s="1070"/>
      <c r="L10" s="1068">
        <f>IFERROR(VLOOKUP(Y5,【参考】数式用!$A$5:$J$27,MATCH(L9,【参考】数式用!$B$4:$J$4,0)+1,0),"")</f>
        <v>0</v>
      </c>
      <c r="M10" s="1069"/>
      <c r="N10" s="1069"/>
      <c r="O10" s="1069"/>
      <c r="P10" s="1070"/>
      <c r="Q10" s="1036">
        <f>SUM(B10,G10,L10)</f>
        <v>4.1000000000000002E-2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2390</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新加算Ⅴ(11)</v>
      </c>
      <c r="W11" s="1138"/>
      <c r="X11" s="1138"/>
      <c r="Y11" s="1138"/>
      <c r="Z11" s="1138"/>
      <c r="AA11" s="1152"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37"/>
      <c r="D12" s="1137"/>
      <c r="E12" s="1137"/>
      <c r="F12" s="1137"/>
      <c r="G12" s="1137"/>
      <c r="H12" s="1137"/>
      <c r="I12" s="1137"/>
      <c r="J12" s="1137"/>
      <c r="K12" s="1137"/>
      <c r="L12" s="1137"/>
      <c r="M12" s="1137"/>
      <c r="N12" s="1137"/>
      <c r="O12" s="1137"/>
      <c r="P12" s="1137"/>
      <c r="Q12" s="1137"/>
      <c r="R12" s="1137"/>
      <c r="S12" s="1137"/>
      <c r="T12" s="1043"/>
      <c r="U12" s="1042"/>
      <c r="V12" s="1148">
        <f>IFERROR(VLOOKUP(Y5,【参考】数式用!$A$5:$AB$27,MATCH(V11,【参考】数式用!$B$4:$AB$4,0)+1,FALSE),"")</f>
        <v>8.8999999999999996E-2</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2287</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新加算Ⅴ(14)</v>
      </c>
      <c r="W14" s="1138"/>
      <c r="X14" s="1138"/>
      <c r="Y14" s="1138"/>
      <c r="Z14" s="1138"/>
      <c r="AA14" s="1162"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2281</v>
      </c>
      <c r="C15" s="1075"/>
      <c r="D15" s="147">
        <v>6</v>
      </c>
      <c r="E15" s="530" t="s">
        <v>2282</v>
      </c>
      <c r="F15" s="147">
        <v>4</v>
      </c>
      <c r="G15" s="530" t="s">
        <v>2283</v>
      </c>
      <c r="H15" s="1076" t="s">
        <v>2284</v>
      </c>
      <c r="I15" s="1076"/>
      <c r="J15" s="1089"/>
      <c r="K15" s="147">
        <v>7</v>
      </c>
      <c r="L15" s="530" t="s">
        <v>2282</v>
      </c>
      <c r="M15" s="147">
        <v>3</v>
      </c>
      <c r="N15" s="530" t="s">
        <v>2283</v>
      </c>
      <c r="O15" s="530" t="s">
        <v>2285</v>
      </c>
      <c r="P15" s="204">
        <f>(K15*12+M15)-(D15*12+F15)+1</f>
        <v>12</v>
      </c>
      <c r="Q15" s="1076" t="s">
        <v>2286</v>
      </c>
      <c r="R15" s="1076"/>
      <c r="S15" s="205" t="s">
        <v>74</v>
      </c>
      <c r="U15" s="528"/>
      <c r="V15" s="1077">
        <f>IFERROR(VLOOKUP(Y5,【参考】数式用!$A$5:$AB$27,MATCH(V14,【参考】数式用!$B$4:$AB$4,0)+1,FALSE),"")</f>
        <v>5.6000000000000001E-2</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91" t="s">
        <v>2294</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2368</v>
      </c>
      <c r="AD37" s="1179"/>
      <c r="AE37" s="1179"/>
      <c r="AF37" s="1179"/>
      <c r="AG37" s="1180"/>
      <c r="AH37" s="1181"/>
      <c r="AI37" s="1041"/>
      <c r="AJ37" s="1042"/>
      <c r="AK37" s="1178" t="s">
        <v>2368</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2316</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処遇加算Ⅱ</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ベア加算</v>
      </c>
      <c r="BB48" s="1013"/>
      <c r="BC48" s="1013"/>
      <c r="BD48" s="1013"/>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処遇加算Ⅱ</v>
      </c>
      <c r="H49" s="1046"/>
      <c r="I49" s="1046"/>
      <c r="J49" s="1046"/>
      <c r="K49" s="1047"/>
      <c r="L49" s="1045" t="str">
        <f>IFERROR(IF(G9="","",IF(AND(OR(AH61=1,AH61=2),AH62=1,AH63=1),"特定加算Ⅰ",IF(AND(OR(AH61=1,AH61=2),AH62=2,AH63=1),"特定加算Ⅱ",IF(OR(AH61=3,AH62=2,AH63=2),"特定加算なし","")))),"")</f>
        <v>特定加算なし</v>
      </c>
      <c r="M49" s="1046"/>
      <c r="N49" s="1046"/>
      <c r="O49" s="1046"/>
      <c r="P49" s="1060"/>
      <c r="Q49" s="1061" t="str">
        <f>IFERROR(IF(OR(L9="ベア加算",AND(L9="ベア加算なし",AH57=1)),"ベア加算",IF(AH57=2,"ベア加算なし","")),"")</f>
        <v>ベア加算</v>
      </c>
      <c r="R49" s="1046"/>
      <c r="S49" s="1046"/>
      <c r="T49" s="1046"/>
      <c r="U49" s="1060"/>
      <c r="V49" s="1062" t="s">
        <v>12</v>
      </c>
      <c r="W49" s="1063"/>
      <c r="X49" s="1063"/>
      <c r="Y49" s="1063"/>
      <c r="Z49" s="1063"/>
      <c r="AA49" s="1043"/>
      <c r="AB49" s="1043"/>
      <c r="AC49" s="1028" t="str">
        <f>IFERROR(VLOOKUP(BE48,【参考】数式用2!E6:F23,2,FALSE),"")</f>
        <v>新加算Ⅳ</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f>IFERROR(VLOOKUP(Y5,【参考】数式用!$A$5:$J$27,MATCH(G49,【参考】数式用!$B$4:$J$4,0)+1,0),"")</f>
        <v>7.3999999999999996E-2</v>
      </c>
      <c r="H50" s="1032"/>
      <c r="I50" s="1032"/>
      <c r="J50" s="1032"/>
      <c r="K50" s="1033"/>
      <c r="L50" s="1031">
        <f>IFERROR(VLOOKUP(Y5,【参考】数式用!$A$5:$J$27,MATCH(L49,【参考】数式用!$B$4:$J$4,0)+1,0),"")</f>
        <v>0</v>
      </c>
      <c r="M50" s="1032"/>
      <c r="N50" s="1032"/>
      <c r="O50" s="1032"/>
      <c r="P50" s="1034"/>
      <c r="Q50" s="1035">
        <f>IFERROR(VLOOKUP(Y5,【参考】数式用!$A$5:$J$27,MATCH(Q49,【参考】数式用!$B$4:$J$4,0)+1,0),"")</f>
        <v>1.7000000000000001E-2</v>
      </c>
      <c r="R50" s="1032"/>
      <c r="S50" s="1032"/>
      <c r="T50" s="1032"/>
      <c r="U50" s="1034"/>
      <c r="V50" s="1036">
        <f>SUM(G50,L50,Q50)</f>
        <v>9.0999999999999998E-2</v>
      </c>
      <c r="W50" s="1037"/>
      <c r="X50" s="1037"/>
      <c r="Y50" s="1037"/>
      <c r="Z50" s="1037"/>
      <c r="AA50" s="1043"/>
      <c r="AB50" s="1043"/>
      <c r="AC50" s="1038">
        <f>IFERROR(VLOOKUP(Y5,【参考】数式用!$A$5:$AB$27,MATCH(AC49,【参考】数式用!$B$4:$AB$4,0)+1,FALSE),"")</f>
        <v>0.106</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2293</v>
      </c>
      <c r="C51" s="1023"/>
      <c r="D51" s="1023"/>
      <c r="E51" s="1023"/>
      <c r="F51" s="1024"/>
      <c r="G51" s="1048">
        <f>IFERROR(ROUNDDOWN(ROUND(AM5*G50,0)*P5,0)*H53,"")</f>
        <v>566766</v>
      </c>
      <c r="H51" s="1048"/>
      <c r="I51" s="1048"/>
      <c r="J51" s="1048"/>
      <c r="K51" s="148" t="s">
        <v>2288</v>
      </c>
      <c r="L51" s="1051">
        <f>IFERROR(ROUNDDOWN(ROUND(AM5*L50,0)*P5,0)*H53,"")</f>
        <v>0</v>
      </c>
      <c r="M51" s="1048"/>
      <c r="N51" s="1048"/>
      <c r="O51" s="1048"/>
      <c r="P51" s="148" t="s">
        <v>2288</v>
      </c>
      <c r="Q51" s="1051">
        <f>IFERROR(ROUNDDOWN(ROUND(AM5*Q50,0)*P5,0)*H53,"")</f>
        <v>130202</v>
      </c>
      <c r="R51" s="1048"/>
      <c r="S51" s="1048"/>
      <c r="T51" s="1048"/>
      <c r="U51" s="149" t="s">
        <v>2288</v>
      </c>
      <c r="V51" s="1058">
        <f>IFERROR(SUM(G51,L51,Q51),"")</f>
        <v>696968</v>
      </c>
      <c r="W51" s="1059"/>
      <c r="X51" s="1059"/>
      <c r="Y51" s="1059"/>
      <c r="Z51" s="150" t="s">
        <v>2288</v>
      </c>
      <c r="AB51" s="151"/>
      <c r="AC51" s="1051">
        <f>IFERROR(ROUNDDOWN(ROUND(AM5*AC50,0)*P5,0)*AD53,"")</f>
        <v>4059270</v>
      </c>
      <c r="AD51" s="1048"/>
      <c r="AE51" s="1048"/>
      <c r="AF51" s="1048"/>
      <c r="AG51" s="1048"/>
      <c r="AH51" s="149" t="s">
        <v>2288</v>
      </c>
      <c r="AS51" s="1011">
        <f>IFERROR(ROUNDDOWN(ROUND(AM5*(G50-B10),0)*P5,0)*H53,"")</f>
        <v>252746</v>
      </c>
      <c r="AT51" s="1011"/>
      <c r="AU51" s="1011"/>
      <c r="AV51" s="1011"/>
      <c r="AW51" s="1011">
        <f>IFERROR(ROUNDDOWN(ROUND(AM5*(L50-G10),0)*P5,0)*H53,"")</f>
        <v>0</v>
      </c>
      <c r="AX51" s="1011"/>
      <c r="AY51" s="1011"/>
      <c r="AZ51" s="1011"/>
      <c r="BA51" s="1011">
        <f>IFERROR(ROUNDDOWN(ROUND(AM5*(Q50-L10),0)*P5,0)*H53,"")</f>
        <v>130202</v>
      </c>
      <c r="BB51" s="1011"/>
      <c r="BC51" s="1011"/>
      <c r="BD51" s="1011"/>
      <c r="BE51" s="1011">
        <f>IFERROR(ROUNDDOWN(ROUND(AM5*(AC50-Q10),0)*P5,0)*AD53,"")</f>
        <v>2489170</v>
      </c>
      <c r="BF51" s="1011"/>
      <c r="BG51" s="1011"/>
      <c r="BH51" s="1011"/>
      <c r="BI51" s="1011">
        <f>SUM(AS51:BH51)</f>
        <v>2872118</v>
      </c>
      <c r="BJ51" s="1011"/>
      <c r="BK51" s="1011"/>
      <c r="BL51" s="1011"/>
      <c r="BM51" s="241"/>
      <c r="BN51" s="1011">
        <f>IFERROR(ROUNDDOWN(ROUNDDOWN(ROUND(AM5*(VLOOKUP(Y5,【参考】数式用!$A$5:$AB$27,14,FALSE)),0)*P5,0)*AD53*0.5,0),"")</f>
        <v>2029635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4" t="str">
        <f>IFERROR("("&amp;TEXT(G51/H53,"#,##0円")&amp;"/月)","")</f>
        <v>(283,383円/月)</v>
      </c>
      <c r="H52" s="1050"/>
      <c r="I52" s="1050"/>
      <c r="J52" s="1050"/>
      <c r="K52" s="1050"/>
      <c r="L52" s="1050" t="str">
        <f>IFERROR("("&amp;TEXT(L51/H53,"#,##0円")&amp;"/月)","")</f>
        <v>(0円/月)</v>
      </c>
      <c r="M52" s="1050"/>
      <c r="N52" s="1050"/>
      <c r="O52" s="1050"/>
      <c r="P52" s="1050"/>
      <c r="Q52" s="1050" t="str">
        <f>IFERROR("("&amp;TEXT(Q51/H53,"#,##0円")&amp;"/月)","")</f>
        <v>(65,101円/月)</v>
      </c>
      <c r="R52" s="1050"/>
      <c r="S52" s="1050"/>
      <c r="T52" s="1050"/>
      <c r="U52" s="1050"/>
      <c r="V52" s="1050" t="str">
        <f>IFERROR("("&amp;TEXT(V51/H53,"#,##0円")&amp;"/月)","")</f>
        <v>(348,484円/月)</v>
      </c>
      <c r="W52" s="1050"/>
      <c r="X52" s="1050"/>
      <c r="Y52" s="1050"/>
      <c r="Z52" s="1050"/>
      <c r="AB52" s="151"/>
      <c r="AC52" s="1052" t="str">
        <f>IFERROR("("&amp;TEXT(AC51/AD53,"#,##0円")&amp;"/月)","")</f>
        <v>(405,927円/月)</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2419</v>
      </c>
      <c r="AT56" s="1169"/>
      <c r="AU56" s="1169"/>
      <c r="AV56" s="1169"/>
      <c r="AW56" s="1169" t="s">
        <v>2418</v>
      </c>
      <c r="AX56" s="1169"/>
      <c r="AY56" s="1169"/>
      <c r="AZ56" s="1169"/>
    </row>
    <row r="57" spans="2:84" ht="15.95" customHeight="1">
      <c r="U57" s="1012" t="s">
        <v>2203</v>
      </c>
      <c r="V57" s="1012"/>
      <c r="W57" s="1012"/>
      <c r="X57" s="1012"/>
      <c r="Y57" s="1012"/>
      <c r="Z57" s="527">
        <f>IF(AND(B9&lt;&gt;"処遇加算なし",F15=4),IF(V21="✓",1,IF(V22="✓",2,"")),"")</f>
        <v>2</v>
      </c>
      <c r="AA57" s="245"/>
      <c r="AB57" s="249"/>
      <c r="AC57" s="1012" t="s">
        <v>2203</v>
      </c>
      <c r="AD57" s="1012"/>
      <c r="AE57" s="1012"/>
      <c r="AF57" s="1012"/>
      <c r="AG57" s="1012"/>
      <c r="AH57" s="170">
        <f>IF(AND(F15&lt;&gt;4,F15&lt;&gt;5),0,IF(AT8="○",1,0))</f>
        <v>1</v>
      </c>
      <c r="AI57" s="253"/>
      <c r="AJ57" s="249"/>
      <c r="AK57" s="1012" t="s">
        <v>2203</v>
      </c>
      <c r="AL57" s="1012"/>
      <c r="AM57" s="1012"/>
      <c r="AN57" s="1012"/>
      <c r="AO57" s="1012"/>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24" t="s">
        <v>2204</v>
      </c>
      <c r="V58" s="1124"/>
      <c r="W58" s="1124"/>
      <c r="X58" s="1124"/>
      <c r="Y58" s="1124"/>
      <c r="Z58" s="527">
        <f>IF(AND(B9&lt;&gt;"処遇加算なし",F15=4),IF(V24="✓",1,IF(V25="✓",2,IF(V26="✓",3,""))),"")</f>
        <v>2</v>
      </c>
      <c r="AA58" s="245"/>
      <c r="AB58" s="249"/>
      <c r="AC58" s="1124" t="s">
        <v>2204</v>
      </c>
      <c r="AD58" s="1124"/>
      <c r="AE58" s="1124"/>
      <c r="AF58" s="1124"/>
      <c r="AG58" s="1124"/>
      <c r="AH58" s="170">
        <v>2</v>
      </c>
      <c r="AI58" s="253"/>
      <c r="AJ58" s="249"/>
      <c r="AK58" s="1124" t="s">
        <v>2204</v>
      </c>
      <c r="AL58" s="1124"/>
      <c r="AM58" s="1124"/>
      <c r="AN58" s="1124"/>
      <c r="AO58" s="1124"/>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24" t="s">
        <v>2205</v>
      </c>
      <c r="V59" s="1124"/>
      <c r="W59" s="1124"/>
      <c r="X59" s="1124"/>
      <c r="Y59" s="1124"/>
      <c r="Z59" s="527">
        <f>IF(AND(B9&lt;&gt;"処遇加算なし",F15=4),IF(V28="✓",1,IF(V29="✓",2,IF(V30="✓",3,""))),"")</f>
        <v>2</v>
      </c>
      <c r="AA59" s="245"/>
      <c r="AB59" s="249"/>
      <c r="AC59" s="1124" t="s">
        <v>2205</v>
      </c>
      <c r="AD59" s="1124"/>
      <c r="AE59" s="1124"/>
      <c r="AF59" s="1124"/>
      <c r="AG59" s="1124"/>
      <c r="AH59" s="170">
        <v>1</v>
      </c>
      <c r="AI59" s="253"/>
      <c r="AJ59" s="249"/>
      <c r="AK59" s="1124" t="s">
        <v>2205</v>
      </c>
      <c r="AL59" s="1124"/>
      <c r="AM59" s="1124"/>
      <c r="AN59" s="1124"/>
      <c r="AO59" s="1124"/>
      <c r="AP59" s="170">
        <f>IF(AV8="○",1,3)</f>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24" t="s">
        <v>2206</v>
      </c>
      <c r="V60" s="1124"/>
      <c r="W60" s="1124"/>
      <c r="X60" s="1124"/>
      <c r="Y60" s="1124"/>
      <c r="Z60" s="527">
        <f>IF(AND(B9&lt;&gt;"処遇加算なし",F15=4),IF(V32="✓",1,IF(V33="✓",2,"")),"")</f>
        <v>2</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24" t="s">
        <v>2207</v>
      </c>
      <c r="V61" s="1124"/>
      <c r="W61" s="1124"/>
      <c r="X61" s="1124"/>
      <c r="Y61" s="1124"/>
      <c r="Z61" s="527">
        <f>IF(AND(B9&lt;&gt;"処遇加算なし",F15=4),IF(V36="✓",1,IF(V37="✓",2,"")),"")</f>
        <v>2</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24" t="s">
        <v>2208</v>
      </c>
      <c r="V62" s="1124"/>
      <c r="W62" s="1124"/>
      <c r="X62" s="1124"/>
      <c r="Y62" s="1124"/>
      <c r="Z62" s="527">
        <f>IF(AND(B9&lt;&gt;"処遇加算なし",F15=4),IF(V40="✓",1,IF(V41="✓",2,"")),"")</f>
        <v>2</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00000000-0002-0000-0400-000000000000}">
      <formula1>0</formula1>
    </dataValidation>
    <dataValidation type="list" allowBlank="1" showInputMessage="1" showErrorMessage="1" sqref="AL41:AP41" xr:uid="{00000000-0002-0000-0400-000001000000}">
      <formula1>INDIRECT(BF1)</formula1>
    </dataValidation>
    <dataValidation type="list" allowBlank="1" showInputMessage="1" showErrorMessage="1" sqref="AD41:AH41" xr:uid="{00000000-0002-0000-04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400-000003000000}">
      <formula1>10</formula1>
    </dataValidation>
    <dataValidation type="list" allowBlank="1" showInputMessage="1" showErrorMessage="1" sqref="K15:K16 D15:D16" xr:uid="{00000000-0002-0000-0400-000004000000}">
      <formula1>"6,7"</formula1>
    </dataValidation>
    <dataValidation type="list" allowBlank="1" showInputMessage="1" showErrorMessage="1" sqref="M15:M16" xr:uid="{00000000-0002-0000-0400-000005000000}">
      <formula1>"1,2,3,6,7,8,9,10,11,12"</formula1>
    </dataValidation>
    <dataValidation type="list" allowBlank="1" showInputMessage="1" showErrorMessage="1" sqref="M5:O5" xr:uid="{00000000-0002-0000-0400-000006000000}">
      <formula1>INDIRECT(J5)</formula1>
    </dataValidation>
    <dataValidation type="list" allowBlank="1" showInputMessage="1" showErrorMessage="1" sqref="Y5" xr:uid="{00000000-0002-0000-0400-000007000000}">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8000000}">
          <x14:formula1>
            <xm:f>【参考】数式用!$B$4:$E$4</xm:f>
          </x14:formula1>
          <xm:sqref>B9:F9</xm:sqref>
        </x14:dataValidation>
        <x14:dataValidation type="list" allowBlank="1" showInputMessage="1" showErrorMessage="1" xr:uid="{00000000-0002-0000-0400-000009000000}">
          <x14:formula1>
            <xm:f>【参考】数式用!$F$4:$H$4</xm:f>
          </x14:formula1>
          <xm:sqref>G9</xm:sqref>
        </x14:dataValidation>
        <x14:dataValidation type="list" allowBlank="1" showInputMessage="1" showErrorMessage="1" xr:uid="{00000000-0002-0000-0400-00000A000000}">
          <x14:formula1>
            <xm:f>【参考】数式用!$I$4:$J$4</xm:f>
          </x14:formula1>
          <xm:sqref>L9</xm:sqref>
        </x14:dataValidation>
        <x14:dataValidation type="list" allowBlank="1" showInputMessage="1" showErrorMessage="1" xr:uid="{00000000-0002-0000-0400-00000B000000}">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2291</v>
      </c>
      <c r="M1" s="173"/>
      <c r="N1" s="1147" t="s">
        <v>2424</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2389</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2392</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7" t="s">
        <v>2386</v>
      </c>
      <c r="CF3" s="987"/>
      <c r="CG3" s="987"/>
      <c r="CH3" s="987"/>
      <c r="CI3" s="993" t="str">
        <f>IF(AND(L9="ベア加算",Q49="ベア加算"),1,"")</f>
        <v/>
      </c>
      <c r="CJ3" s="994"/>
    </row>
    <row r="4" spans="1:88" ht="25.5" customHeight="1">
      <c r="B4" s="1125" t="s">
        <v>2292</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2391</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2385</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2388</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2387</v>
      </c>
      <c r="CF7" s="1009"/>
      <c r="CG7" s="1009"/>
      <c r="CH7" s="1009"/>
      <c r="CI7" s="995" t="str">
        <f>IF(AND(AH62=1,AD41=""),1,"")</f>
        <v/>
      </c>
      <c r="CJ7" s="996"/>
    </row>
    <row r="8" spans="1:88" ht="17.25" customHeight="1" thickBot="1">
      <c r="B8" s="1110" t="s">
        <v>2327</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2387</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2387</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2390</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2287</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2281</v>
      </c>
      <c r="C15" s="1075"/>
      <c r="D15" s="147">
        <v>6</v>
      </c>
      <c r="E15" s="530" t="s">
        <v>2282</v>
      </c>
      <c r="F15" s="147">
        <v>4</v>
      </c>
      <c r="G15" s="530" t="s">
        <v>2283</v>
      </c>
      <c r="H15" s="1076" t="s">
        <v>2284</v>
      </c>
      <c r="I15" s="1076"/>
      <c r="J15" s="1089"/>
      <c r="K15" s="147">
        <v>7</v>
      </c>
      <c r="L15" s="530" t="s">
        <v>2282</v>
      </c>
      <c r="M15" s="147">
        <v>3</v>
      </c>
      <c r="N15" s="530" t="s">
        <v>2283</v>
      </c>
      <c r="O15" s="530" t="s">
        <v>2285</v>
      </c>
      <c r="P15" s="204">
        <f>(K15*12+M15)-(D15*12+F15)+1</f>
        <v>12</v>
      </c>
      <c r="Q15" s="1076" t="s">
        <v>2286</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2294</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2368</v>
      </c>
      <c r="AD37" s="1179"/>
      <c r="AE37" s="1179"/>
      <c r="AF37" s="1179"/>
      <c r="AG37" s="1180"/>
      <c r="AH37" s="1181"/>
      <c r="AI37" s="1041"/>
      <c r="AJ37" s="1042"/>
      <c r="AK37" s="1178" t="s">
        <v>2368</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2316</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2293</v>
      </c>
      <c r="C51" s="1023"/>
      <c r="D51" s="1023"/>
      <c r="E51" s="1023"/>
      <c r="F51" s="1024"/>
      <c r="G51" s="1048" t="str">
        <f>IFERROR(ROUNDDOWN(ROUND(AM5*G50,0)*P5,0)*H53,"")</f>
        <v/>
      </c>
      <c r="H51" s="1048"/>
      <c r="I51" s="1048"/>
      <c r="J51" s="1048"/>
      <c r="K51" s="148" t="s">
        <v>2288</v>
      </c>
      <c r="L51" s="1051" t="str">
        <f>IFERROR(ROUNDDOWN(ROUND(AM5*L50,0)*P5,0)*H53,"")</f>
        <v/>
      </c>
      <c r="M51" s="1048"/>
      <c r="N51" s="1048"/>
      <c r="O51" s="1048"/>
      <c r="P51" s="148" t="s">
        <v>2288</v>
      </c>
      <c r="Q51" s="1051" t="str">
        <f>IFERROR(ROUNDDOWN(ROUND(AM5*Q50,0)*P5,0)*H53,"")</f>
        <v/>
      </c>
      <c r="R51" s="1048"/>
      <c r="S51" s="1048"/>
      <c r="T51" s="1048"/>
      <c r="U51" s="149" t="s">
        <v>2288</v>
      </c>
      <c r="V51" s="1058">
        <f>IFERROR(SUM(G51,L51,Q51),"")</f>
        <v>0</v>
      </c>
      <c r="W51" s="1059"/>
      <c r="X51" s="1059"/>
      <c r="Y51" s="1059"/>
      <c r="Z51" s="150" t="s">
        <v>2288</v>
      </c>
      <c r="AB51" s="151"/>
      <c r="AC51" s="1051" t="str">
        <f>IFERROR(ROUNDDOWN(ROUND(AM5*AC50,0)*P5,0)*AD53,"")</f>
        <v/>
      </c>
      <c r="AD51" s="1048"/>
      <c r="AE51" s="1048"/>
      <c r="AF51" s="1048"/>
      <c r="AG51" s="1048"/>
      <c r="AH51" s="149" t="s">
        <v>2288</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2419</v>
      </c>
      <c r="AT56" s="1169"/>
      <c r="AU56" s="1169"/>
      <c r="AV56" s="1169"/>
      <c r="AW56" s="1169" t="s">
        <v>2418</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4"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4"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00000000-0002-0000-0500-000000000000}">
      <formula1>サービス名</formula1>
    </dataValidation>
    <dataValidation type="list" allowBlank="1" showInputMessage="1" showErrorMessage="1" sqref="M5:O5" xr:uid="{00000000-0002-0000-0500-000001000000}">
      <formula1>INDIRECT(J5)</formula1>
    </dataValidation>
    <dataValidation type="list" allowBlank="1" showInputMessage="1" showErrorMessage="1" sqref="M15:M16" xr:uid="{00000000-0002-0000-0500-000002000000}">
      <formula1>"1,2,3,6,7,8,9,10,11,12"</formula1>
    </dataValidation>
    <dataValidation type="list" allowBlank="1" showInputMessage="1" showErrorMessage="1" sqref="K15:K16 D15:D16" xr:uid="{00000000-0002-0000-05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500-000004000000}">
      <formula1>10</formula1>
    </dataValidation>
    <dataValidation type="list" allowBlank="1" showInputMessage="1" showErrorMessage="1" sqref="AD41:AH41" xr:uid="{00000000-0002-0000-0500-000005000000}">
      <formula1>INDIRECT(BF1)</formula1>
    </dataValidation>
    <dataValidation type="list" allowBlank="1" showInputMessage="1" showErrorMessage="1" sqref="AL41:AP41" xr:uid="{00000000-0002-0000-0500-000006000000}">
      <formula1>INDIRECT(BF1)</formula1>
    </dataValidation>
    <dataValidation type="whole" operator="greaterThanOrEqual" allowBlank="1" showInputMessage="1" showErrorMessage="1" prompt="要件を満たす職員数を記入してください。" sqref="AG37:AH37 AO37:AP37" xr:uid="{00000000-0002-0000-0500-000007000000}">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8000000}">
          <x14:formula1>
            <xm:f>【参考】数式用3!$A$3:$A$49</xm:f>
          </x14:formula1>
          <xm:sqref>J5:L5</xm:sqref>
        </x14:dataValidation>
        <x14:dataValidation type="list" allowBlank="1" showInputMessage="1" showErrorMessage="1" xr:uid="{00000000-0002-0000-0500-000009000000}">
          <x14:formula1>
            <xm:f>【参考】数式用!$I$4:$J$4</xm:f>
          </x14:formula1>
          <xm:sqref>L9</xm:sqref>
        </x14:dataValidation>
        <x14:dataValidation type="list" allowBlank="1" showInputMessage="1" showErrorMessage="1" xr:uid="{00000000-0002-0000-0500-00000A000000}">
          <x14:formula1>
            <xm:f>【参考】数式用!$F$4:$H$4</xm:f>
          </x14:formula1>
          <xm:sqref>G9</xm:sqref>
        </x14:dataValidation>
        <x14:dataValidation type="list" allowBlank="1" showInputMessage="1" showErrorMessage="1" xr:uid="{00000000-0002-0000-0500-00000B000000}">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2291</v>
      </c>
      <c r="M1" s="173"/>
      <c r="N1" s="1147" t="s">
        <v>2425</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2389</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2392</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7" t="s">
        <v>2386</v>
      </c>
      <c r="CF3" s="987"/>
      <c r="CG3" s="987"/>
      <c r="CH3" s="987"/>
      <c r="CI3" s="993" t="str">
        <f>IF(AND(L9="ベア加算",Q49="ベア加算"),1,"")</f>
        <v/>
      </c>
      <c r="CJ3" s="994"/>
    </row>
    <row r="4" spans="1:88" ht="25.5" customHeight="1">
      <c r="B4" s="1125" t="s">
        <v>2292</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2391</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2385</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2388</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2387</v>
      </c>
      <c r="CF7" s="1009"/>
      <c r="CG7" s="1009"/>
      <c r="CH7" s="1009"/>
      <c r="CI7" s="995" t="str">
        <f>IF(AND(AH62=1,AD41=""),1,"")</f>
        <v/>
      </c>
      <c r="CJ7" s="996"/>
    </row>
    <row r="8" spans="1:88" ht="17.25" customHeight="1" thickBot="1">
      <c r="B8" s="1110" t="s">
        <v>2327</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2387</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2387</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2390</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2287</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2281</v>
      </c>
      <c r="C15" s="1075"/>
      <c r="D15" s="147">
        <v>6</v>
      </c>
      <c r="E15" s="530" t="s">
        <v>2282</v>
      </c>
      <c r="F15" s="147">
        <v>4</v>
      </c>
      <c r="G15" s="530" t="s">
        <v>2283</v>
      </c>
      <c r="H15" s="1076" t="s">
        <v>2284</v>
      </c>
      <c r="I15" s="1076"/>
      <c r="J15" s="1089"/>
      <c r="K15" s="147">
        <v>7</v>
      </c>
      <c r="L15" s="530" t="s">
        <v>2282</v>
      </c>
      <c r="M15" s="147">
        <v>3</v>
      </c>
      <c r="N15" s="530" t="s">
        <v>2283</v>
      </c>
      <c r="O15" s="530" t="s">
        <v>2285</v>
      </c>
      <c r="P15" s="204">
        <f>(K15*12+M15)-(D15*12+F15)+1</f>
        <v>12</v>
      </c>
      <c r="Q15" s="1076" t="s">
        <v>2286</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2294</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2368</v>
      </c>
      <c r="AD37" s="1179"/>
      <c r="AE37" s="1179"/>
      <c r="AF37" s="1179"/>
      <c r="AG37" s="1180"/>
      <c r="AH37" s="1181"/>
      <c r="AI37" s="1041"/>
      <c r="AJ37" s="1042"/>
      <c r="AK37" s="1178" t="s">
        <v>2368</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2316</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2293</v>
      </c>
      <c r="C51" s="1023"/>
      <c r="D51" s="1023"/>
      <c r="E51" s="1023"/>
      <c r="F51" s="1024"/>
      <c r="G51" s="1048" t="str">
        <f>IFERROR(ROUNDDOWN(ROUND(AM5*G50,0)*P5,0)*H53,"")</f>
        <v/>
      </c>
      <c r="H51" s="1048"/>
      <c r="I51" s="1048"/>
      <c r="J51" s="1048"/>
      <c r="K51" s="148" t="s">
        <v>2288</v>
      </c>
      <c r="L51" s="1051" t="str">
        <f>IFERROR(ROUNDDOWN(ROUND(AM5*L50,0)*P5,0)*H53,"")</f>
        <v/>
      </c>
      <c r="M51" s="1048"/>
      <c r="N51" s="1048"/>
      <c r="O51" s="1048"/>
      <c r="P51" s="148" t="s">
        <v>2288</v>
      </c>
      <c r="Q51" s="1051" t="str">
        <f>IFERROR(ROUNDDOWN(ROUND(AM5*Q50,0)*P5,0)*H53,"")</f>
        <v/>
      </c>
      <c r="R51" s="1048"/>
      <c r="S51" s="1048"/>
      <c r="T51" s="1048"/>
      <c r="U51" s="149" t="s">
        <v>2288</v>
      </c>
      <c r="V51" s="1058">
        <f>IFERROR(SUM(G51,L51,Q51),"")</f>
        <v>0</v>
      </c>
      <c r="W51" s="1059"/>
      <c r="X51" s="1059"/>
      <c r="Y51" s="1059"/>
      <c r="Z51" s="150" t="s">
        <v>2288</v>
      </c>
      <c r="AB51" s="151"/>
      <c r="AC51" s="1051" t="str">
        <f>IFERROR(ROUNDDOWN(ROUND(AM5*AC50,0)*P5,0)*AD53,"")</f>
        <v/>
      </c>
      <c r="AD51" s="1048"/>
      <c r="AE51" s="1048"/>
      <c r="AF51" s="1048"/>
      <c r="AG51" s="1048"/>
      <c r="AH51" s="149" t="s">
        <v>2288</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2419</v>
      </c>
      <c r="AT56" s="1169"/>
      <c r="AU56" s="1169"/>
      <c r="AV56" s="1169"/>
      <c r="AW56" s="1169" t="s">
        <v>2418</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00000000-0002-0000-0600-000000000000}">
      <formula1>0</formula1>
    </dataValidation>
    <dataValidation type="list" allowBlank="1" showInputMessage="1" showErrorMessage="1" sqref="AL41:AP41" xr:uid="{00000000-0002-0000-0600-000001000000}">
      <formula1>INDIRECT(BF1)</formula1>
    </dataValidation>
    <dataValidation type="list" allowBlank="1" showInputMessage="1" showErrorMessage="1" sqref="AD41:AH41" xr:uid="{00000000-0002-0000-06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600-000003000000}">
      <formula1>10</formula1>
    </dataValidation>
    <dataValidation type="list" allowBlank="1" showInputMessage="1" showErrorMessage="1" sqref="K15:K16 D15:D16" xr:uid="{00000000-0002-0000-0600-000004000000}">
      <formula1>"6,7"</formula1>
    </dataValidation>
    <dataValidation type="list" allowBlank="1" showInputMessage="1" showErrorMessage="1" sqref="M15:M16" xr:uid="{00000000-0002-0000-0600-000005000000}">
      <formula1>"1,2,3,6,7,8,9,10,11,12"</formula1>
    </dataValidation>
    <dataValidation type="list" allowBlank="1" showInputMessage="1" showErrorMessage="1" sqref="M5:O5" xr:uid="{00000000-0002-0000-0600-000006000000}">
      <formula1>INDIRECT(J5)</formula1>
    </dataValidation>
    <dataValidation type="list" allowBlank="1" showInputMessage="1" showErrorMessage="1" sqref="Y5" xr:uid="{00000000-0002-0000-0600-000007000000}">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8000000}">
          <x14:formula1>
            <xm:f>【参考】数式用!$B$4:$E$4</xm:f>
          </x14:formula1>
          <xm:sqref>B9:F9</xm:sqref>
        </x14:dataValidation>
        <x14:dataValidation type="list" allowBlank="1" showInputMessage="1" showErrorMessage="1" xr:uid="{00000000-0002-0000-0600-000009000000}">
          <x14:formula1>
            <xm:f>【参考】数式用!$F$4:$H$4</xm:f>
          </x14:formula1>
          <xm:sqref>G9</xm:sqref>
        </x14:dataValidation>
        <x14:dataValidation type="list" allowBlank="1" showInputMessage="1" showErrorMessage="1" xr:uid="{00000000-0002-0000-0600-00000A000000}">
          <x14:formula1>
            <xm:f>【参考】数式用!$I$4:$J$4</xm:f>
          </x14:formula1>
          <xm:sqref>L9</xm:sqref>
        </x14:dataValidation>
        <x14:dataValidation type="list" allowBlank="1" showInputMessage="1" showErrorMessage="1" xr:uid="{00000000-0002-0000-0600-00000B000000}">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2291</v>
      </c>
      <c r="M1" s="173"/>
      <c r="N1" s="1147" t="s">
        <v>2426</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2389</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2392</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7" t="s">
        <v>2386</v>
      </c>
      <c r="CF3" s="987"/>
      <c r="CG3" s="987"/>
      <c r="CH3" s="987"/>
      <c r="CI3" s="993" t="str">
        <f>IF(AND(L9="ベア加算",Q49="ベア加算"),1,"")</f>
        <v/>
      </c>
      <c r="CJ3" s="994"/>
    </row>
    <row r="4" spans="1:88" ht="25.5" customHeight="1">
      <c r="B4" s="1125" t="s">
        <v>2292</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2391</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2385</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2388</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2387</v>
      </c>
      <c r="CF7" s="1009"/>
      <c r="CG7" s="1009"/>
      <c r="CH7" s="1009"/>
      <c r="CI7" s="995" t="str">
        <f>IF(AND(AH62=1,AD41=""),1,"")</f>
        <v/>
      </c>
      <c r="CJ7" s="996"/>
    </row>
    <row r="8" spans="1:88" ht="17.25" customHeight="1" thickBot="1">
      <c r="B8" s="1110" t="s">
        <v>2327</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2387</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2387</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2390</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2287</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2281</v>
      </c>
      <c r="C15" s="1075"/>
      <c r="D15" s="147">
        <v>6</v>
      </c>
      <c r="E15" s="530" t="s">
        <v>2282</v>
      </c>
      <c r="F15" s="147">
        <v>4</v>
      </c>
      <c r="G15" s="530" t="s">
        <v>2283</v>
      </c>
      <c r="H15" s="1076" t="s">
        <v>2284</v>
      </c>
      <c r="I15" s="1076"/>
      <c r="J15" s="1089"/>
      <c r="K15" s="147">
        <v>7</v>
      </c>
      <c r="L15" s="530" t="s">
        <v>2282</v>
      </c>
      <c r="M15" s="147">
        <v>3</v>
      </c>
      <c r="N15" s="530" t="s">
        <v>2283</v>
      </c>
      <c r="O15" s="530" t="s">
        <v>2285</v>
      </c>
      <c r="P15" s="204">
        <f>(K15*12+M15)-(D15*12+F15)+1</f>
        <v>12</v>
      </c>
      <c r="Q15" s="1076" t="s">
        <v>2286</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2294</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2368</v>
      </c>
      <c r="AD37" s="1179"/>
      <c r="AE37" s="1179"/>
      <c r="AF37" s="1179"/>
      <c r="AG37" s="1180"/>
      <c r="AH37" s="1181"/>
      <c r="AI37" s="1041"/>
      <c r="AJ37" s="1042"/>
      <c r="AK37" s="1178" t="s">
        <v>2368</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2316</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2293</v>
      </c>
      <c r="C51" s="1023"/>
      <c r="D51" s="1023"/>
      <c r="E51" s="1023"/>
      <c r="F51" s="1024"/>
      <c r="G51" s="1048" t="str">
        <f>IFERROR(ROUNDDOWN(ROUND(AM5*G50,0)*P5,0)*H53,"")</f>
        <v/>
      </c>
      <c r="H51" s="1048"/>
      <c r="I51" s="1048"/>
      <c r="J51" s="1048"/>
      <c r="K51" s="148" t="s">
        <v>2288</v>
      </c>
      <c r="L51" s="1051" t="str">
        <f>IFERROR(ROUNDDOWN(ROUND(AM5*L50,0)*P5,0)*H53,"")</f>
        <v/>
      </c>
      <c r="M51" s="1048"/>
      <c r="N51" s="1048"/>
      <c r="O51" s="1048"/>
      <c r="P51" s="148" t="s">
        <v>2288</v>
      </c>
      <c r="Q51" s="1051" t="str">
        <f>IFERROR(ROUNDDOWN(ROUND(AM5*Q50,0)*P5,0)*H53,"")</f>
        <v/>
      </c>
      <c r="R51" s="1048"/>
      <c r="S51" s="1048"/>
      <c r="T51" s="1048"/>
      <c r="U51" s="149" t="s">
        <v>2288</v>
      </c>
      <c r="V51" s="1058">
        <f>IFERROR(SUM(G51,L51,Q51),"")</f>
        <v>0</v>
      </c>
      <c r="W51" s="1059"/>
      <c r="X51" s="1059"/>
      <c r="Y51" s="1059"/>
      <c r="Z51" s="150" t="s">
        <v>2288</v>
      </c>
      <c r="AB51" s="151"/>
      <c r="AC51" s="1051" t="str">
        <f>IFERROR(ROUNDDOWN(ROUND(AM5*AC50,0)*P5,0)*AD53,"")</f>
        <v/>
      </c>
      <c r="AD51" s="1048"/>
      <c r="AE51" s="1048"/>
      <c r="AF51" s="1048"/>
      <c r="AG51" s="1048"/>
      <c r="AH51" s="149" t="s">
        <v>2288</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2419</v>
      </c>
      <c r="AT56" s="1169"/>
      <c r="AU56" s="1169"/>
      <c r="AV56" s="1169"/>
      <c r="AW56" s="1169" t="s">
        <v>2418</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00000000-0002-0000-0700-000000000000}">
      <formula1>サービス名</formula1>
    </dataValidation>
    <dataValidation type="list" allowBlank="1" showInputMessage="1" showErrorMessage="1" sqref="M5:O5" xr:uid="{00000000-0002-0000-0700-000001000000}">
      <formula1>INDIRECT(J5)</formula1>
    </dataValidation>
    <dataValidation type="list" allowBlank="1" showInputMessage="1" showErrorMessage="1" sqref="M15:M16" xr:uid="{00000000-0002-0000-0700-000002000000}">
      <formula1>"1,2,3,6,7,8,9,10,11,12"</formula1>
    </dataValidation>
    <dataValidation type="list" allowBlank="1" showInputMessage="1" showErrorMessage="1" sqref="K15:K16 D15:D16" xr:uid="{00000000-0002-0000-07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700-000004000000}">
      <formula1>10</formula1>
    </dataValidation>
    <dataValidation type="list" allowBlank="1" showInputMessage="1" showErrorMessage="1" sqref="AD41:AH41" xr:uid="{00000000-0002-0000-0700-000005000000}">
      <formula1>INDIRECT(BF1)</formula1>
    </dataValidation>
    <dataValidation type="list" allowBlank="1" showInputMessage="1" showErrorMessage="1" sqref="AL41:AP41" xr:uid="{00000000-0002-0000-0700-000006000000}">
      <formula1>INDIRECT(BF1)</formula1>
    </dataValidation>
    <dataValidation type="whole" operator="greaterThanOrEqual" allowBlank="1" showInputMessage="1" showErrorMessage="1" prompt="要件を満たす職員数を記入してください。" sqref="AG37:AH37 AO37:AP37" xr:uid="{00000000-0002-0000-0700-000007000000}">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8000000}">
          <x14:formula1>
            <xm:f>【参考】数式用3!$A$3:$A$49</xm:f>
          </x14:formula1>
          <xm:sqref>J5:L5</xm:sqref>
        </x14:dataValidation>
        <x14:dataValidation type="list" allowBlank="1" showInputMessage="1" showErrorMessage="1" xr:uid="{00000000-0002-0000-0700-000009000000}">
          <x14:formula1>
            <xm:f>【参考】数式用!$I$4:$J$4</xm:f>
          </x14:formula1>
          <xm:sqref>L9</xm:sqref>
        </x14:dataValidation>
        <x14:dataValidation type="list" allowBlank="1" showInputMessage="1" showErrorMessage="1" xr:uid="{00000000-0002-0000-0700-00000A000000}">
          <x14:formula1>
            <xm:f>【参考】数式用!$F$4:$H$4</xm:f>
          </x14:formula1>
          <xm:sqref>G9</xm:sqref>
        </x14:dataValidation>
        <x14:dataValidation type="list" allowBlank="1" showInputMessage="1" showErrorMessage="1" xr:uid="{00000000-0002-0000-0700-00000B000000}">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2291</v>
      </c>
      <c r="M1" s="173"/>
      <c r="N1" s="1147" t="s">
        <v>2427</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2389</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2392</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7" t="s">
        <v>2386</v>
      </c>
      <c r="CF3" s="987"/>
      <c r="CG3" s="987"/>
      <c r="CH3" s="987"/>
      <c r="CI3" s="993" t="str">
        <f>IF(AND(L9="ベア加算",Q49="ベア加算"),1,"")</f>
        <v/>
      </c>
      <c r="CJ3" s="994"/>
    </row>
    <row r="4" spans="1:88" ht="25.5" customHeight="1">
      <c r="B4" s="1125" t="s">
        <v>2292</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2391</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2385</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2388</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2387</v>
      </c>
      <c r="CF7" s="1009"/>
      <c r="CG7" s="1009"/>
      <c r="CH7" s="1009"/>
      <c r="CI7" s="995" t="str">
        <f>IF(AND(AH62=1,AD41=""),1,"")</f>
        <v/>
      </c>
      <c r="CJ7" s="996"/>
    </row>
    <row r="8" spans="1:88" ht="17.25" customHeight="1" thickBot="1">
      <c r="B8" s="1110" t="s">
        <v>2327</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2387</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2387</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2390</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2287</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2281</v>
      </c>
      <c r="C15" s="1075"/>
      <c r="D15" s="147">
        <v>6</v>
      </c>
      <c r="E15" s="530" t="s">
        <v>2282</v>
      </c>
      <c r="F15" s="147">
        <v>4</v>
      </c>
      <c r="G15" s="530" t="s">
        <v>2283</v>
      </c>
      <c r="H15" s="1076" t="s">
        <v>2284</v>
      </c>
      <c r="I15" s="1076"/>
      <c r="J15" s="1089"/>
      <c r="K15" s="147">
        <v>7</v>
      </c>
      <c r="L15" s="530" t="s">
        <v>2282</v>
      </c>
      <c r="M15" s="147">
        <v>3</v>
      </c>
      <c r="N15" s="530" t="s">
        <v>2283</v>
      </c>
      <c r="O15" s="530" t="s">
        <v>2285</v>
      </c>
      <c r="P15" s="204">
        <f>(K15*12+M15)-(D15*12+F15)+1</f>
        <v>12</v>
      </c>
      <c r="Q15" s="1076" t="s">
        <v>2286</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2294</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2368</v>
      </c>
      <c r="AD37" s="1179"/>
      <c r="AE37" s="1179"/>
      <c r="AF37" s="1179"/>
      <c r="AG37" s="1180"/>
      <c r="AH37" s="1181"/>
      <c r="AI37" s="1041"/>
      <c r="AJ37" s="1042"/>
      <c r="AK37" s="1178" t="s">
        <v>2368</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2316</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2293</v>
      </c>
      <c r="C51" s="1023"/>
      <c r="D51" s="1023"/>
      <c r="E51" s="1023"/>
      <c r="F51" s="1024"/>
      <c r="G51" s="1048" t="str">
        <f>IFERROR(ROUNDDOWN(ROUND(AM5*G50,0)*P5,0)*H53,"")</f>
        <v/>
      </c>
      <c r="H51" s="1048"/>
      <c r="I51" s="1048"/>
      <c r="J51" s="1048"/>
      <c r="K51" s="148" t="s">
        <v>2288</v>
      </c>
      <c r="L51" s="1051" t="str">
        <f>IFERROR(ROUNDDOWN(ROUND(AM5*L50,0)*P5,0)*H53,"")</f>
        <v/>
      </c>
      <c r="M51" s="1048"/>
      <c r="N51" s="1048"/>
      <c r="O51" s="1048"/>
      <c r="P51" s="148" t="s">
        <v>2288</v>
      </c>
      <c r="Q51" s="1051" t="str">
        <f>IFERROR(ROUNDDOWN(ROUND(AM5*Q50,0)*P5,0)*H53,"")</f>
        <v/>
      </c>
      <c r="R51" s="1048"/>
      <c r="S51" s="1048"/>
      <c r="T51" s="1048"/>
      <c r="U51" s="149" t="s">
        <v>2288</v>
      </c>
      <c r="V51" s="1058">
        <f>IFERROR(SUM(G51,L51,Q51),"")</f>
        <v>0</v>
      </c>
      <c r="W51" s="1059"/>
      <c r="X51" s="1059"/>
      <c r="Y51" s="1059"/>
      <c r="Z51" s="150" t="s">
        <v>2288</v>
      </c>
      <c r="AB51" s="151"/>
      <c r="AC51" s="1051" t="str">
        <f>IFERROR(ROUNDDOWN(ROUND(AM5*AC50,0)*P5,0)*AD53,"")</f>
        <v/>
      </c>
      <c r="AD51" s="1048"/>
      <c r="AE51" s="1048"/>
      <c r="AF51" s="1048"/>
      <c r="AG51" s="1048"/>
      <c r="AH51" s="149" t="s">
        <v>2288</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2419</v>
      </c>
      <c r="AT56" s="1169"/>
      <c r="AU56" s="1169"/>
      <c r="AV56" s="1169"/>
      <c r="AW56" s="1169" t="s">
        <v>2418</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D58" s="251"/>
      <c r="BF58" s="251"/>
      <c r="BG58" s="251"/>
      <c r="BH58" s="251"/>
      <c r="BI58" s="251"/>
      <c r="BJ58" s="251"/>
      <c r="BK58" s="251"/>
      <c r="BL58" s="251"/>
      <c r="BM58" s="251"/>
      <c r="BN58" s="251"/>
      <c r="BO58" s="251"/>
      <c r="BP58" s="251"/>
      <c r="BQ58" s="251"/>
      <c r="BR58" s="251"/>
      <c r="BS58" s="251"/>
      <c r="BT58" s="251"/>
      <c r="BV58" s="254"/>
    </row>
    <row r="59" spans="2:82"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D59" s="251"/>
      <c r="BF59" s="251"/>
      <c r="BG59" s="251"/>
      <c r="BH59" s="251"/>
      <c r="BI59" s="251"/>
      <c r="BJ59" s="251"/>
      <c r="BK59" s="251"/>
      <c r="BL59" s="251"/>
      <c r="BM59" s="251"/>
      <c r="BN59" s="251"/>
      <c r="BO59" s="251"/>
      <c r="BP59" s="251"/>
      <c r="BQ59" s="251"/>
      <c r="BR59" s="251"/>
      <c r="BS59" s="251"/>
      <c r="BT59" s="251"/>
      <c r="BV59" s="254"/>
    </row>
    <row r="60" spans="2:82"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00000000-0002-0000-0800-000000000000}">
      <formula1>0</formula1>
    </dataValidation>
    <dataValidation type="list" allowBlank="1" showInputMessage="1" showErrorMessage="1" sqref="AL41:AP41" xr:uid="{00000000-0002-0000-0800-000001000000}">
      <formula1>INDIRECT(BF1)</formula1>
    </dataValidation>
    <dataValidation type="list" allowBlank="1" showInputMessage="1" showErrorMessage="1" sqref="AD41:AH41" xr:uid="{00000000-0002-0000-08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800-000003000000}">
      <formula1>10</formula1>
    </dataValidation>
    <dataValidation type="list" allowBlank="1" showInputMessage="1" showErrorMessage="1" sqref="K15:K16 D15:D16" xr:uid="{00000000-0002-0000-0800-000004000000}">
      <formula1>"6,7"</formula1>
    </dataValidation>
    <dataValidation type="list" allowBlank="1" showInputMessage="1" showErrorMessage="1" sqref="M15:M16" xr:uid="{00000000-0002-0000-0800-000005000000}">
      <formula1>"1,2,3,6,7,8,9,10,11,12"</formula1>
    </dataValidation>
    <dataValidation type="list" allowBlank="1" showInputMessage="1" showErrorMessage="1" sqref="M5:O5" xr:uid="{00000000-0002-0000-0800-000006000000}">
      <formula1>INDIRECT(J5)</formula1>
    </dataValidation>
    <dataValidation type="list" allowBlank="1" showInputMessage="1" showErrorMessage="1" sqref="Y5" xr:uid="{00000000-0002-0000-0800-000007000000}">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8000000}">
          <x14:formula1>
            <xm:f>【参考】数式用!$B$4:$E$4</xm:f>
          </x14:formula1>
          <xm:sqref>B9:F9</xm:sqref>
        </x14:dataValidation>
        <x14:dataValidation type="list" allowBlank="1" showInputMessage="1" showErrorMessage="1" xr:uid="{00000000-0002-0000-0800-000009000000}">
          <x14:formula1>
            <xm:f>【参考】数式用!$F$4:$H$4</xm:f>
          </x14:formula1>
          <xm:sqref>G9</xm:sqref>
        </x14:dataValidation>
        <x14:dataValidation type="list" allowBlank="1" showInputMessage="1" showErrorMessage="1" xr:uid="{00000000-0002-0000-0800-00000A000000}">
          <x14:formula1>
            <xm:f>【参考】数式用!$I$4:$J$4</xm:f>
          </x14:formula1>
          <xm:sqref>L9</xm:sqref>
        </x14:dataValidation>
        <x14:dataValidation type="list" allowBlank="1" showInputMessage="1" showErrorMessage="1" xr:uid="{00000000-0002-0000-0800-00000B00000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2291</v>
      </c>
      <c r="M1" s="173"/>
      <c r="N1" s="1147" t="s">
        <v>2428</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2389</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2392</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7" t="s">
        <v>2386</v>
      </c>
      <c r="CF3" s="987"/>
      <c r="CG3" s="987"/>
      <c r="CH3" s="987"/>
      <c r="CI3" s="993" t="str">
        <f>IF(AND(L9="ベア加算",Q49="ベア加算"),1,"")</f>
        <v/>
      </c>
      <c r="CJ3" s="994"/>
    </row>
    <row r="4" spans="1:88" ht="25.5" customHeight="1">
      <c r="B4" s="1125" t="s">
        <v>2292</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2391</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2385</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2388</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2387</v>
      </c>
      <c r="CF7" s="1009"/>
      <c r="CG7" s="1009"/>
      <c r="CH7" s="1009"/>
      <c r="CI7" s="995" t="str">
        <f>IF(AND(AH62=1,AD41=""),1,"")</f>
        <v/>
      </c>
      <c r="CJ7" s="996"/>
    </row>
    <row r="8" spans="1:88" ht="17.25" customHeight="1" thickBot="1">
      <c r="B8" s="1110" t="s">
        <v>2327</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2387</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2387</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2390</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2287</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2281</v>
      </c>
      <c r="C15" s="1075"/>
      <c r="D15" s="147">
        <v>6</v>
      </c>
      <c r="E15" s="530" t="s">
        <v>2282</v>
      </c>
      <c r="F15" s="147">
        <v>4</v>
      </c>
      <c r="G15" s="530" t="s">
        <v>2283</v>
      </c>
      <c r="H15" s="1076" t="s">
        <v>2284</v>
      </c>
      <c r="I15" s="1076"/>
      <c r="J15" s="1089"/>
      <c r="K15" s="147">
        <v>7</v>
      </c>
      <c r="L15" s="530" t="s">
        <v>2282</v>
      </c>
      <c r="M15" s="147">
        <v>3</v>
      </c>
      <c r="N15" s="530" t="s">
        <v>2283</v>
      </c>
      <c r="O15" s="530" t="s">
        <v>2285</v>
      </c>
      <c r="P15" s="204">
        <f>(K15*12+M15)-(D15*12+F15)+1</f>
        <v>12</v>
      </c>
      <c r="Q15" s="1076" t="s">
        <v>2286</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2294</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2368</v>
      </c>
      <c r="AD37" s="1179"/>
      <c r="AE37" s="1179"/>
      <c r="AF37" s="1179"/>
      <c r="AG37" s="1180"/>
      <c r="AH37" s="1181"/>
      <c r="AI37" s="1041"/>
      <c r="AJ37" s="1042"/>
      <c r="AK37" s="1178" t="s">
        <v>2368</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2316</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2293</v>
      </c>
      <c r="C51" s="1023"/>
      <c r="D51" s="1023"/>
      <c r="E51" s="1023"/>
      <c r="F51" s="1024"/>
      <c r="G51" s="1048" t="str">
        <f>IFERROR(ROUNDDOWN(ROUND(AM5*G50,0)*P5,0)*H53,"")</f>
        <v/>
      </c>
      <c r="H51" s="1048"/>
      <c r="I51" s="1048"/>
      <c r="J51" s="1048"/>
      <c r="K51" s="148" t="s">
        <v>2288</v>
      </c>
      <c r="L51" s="1051" t="str">
        <f>IFERROR(ROUNDDOWN(ROUND(AM5*L50,0)*P5,0)*H53,"")</f>
        <v/>
      </c>
      <c r="M51" s="1048"/>
      <c r="N51" s="1048"/>
      <c r="O51" s="1048"/>
      <c r="P51" s="148" t="s">
        <v>2288</v>
      </c>
      <c r="Q51" s="1051" t="str">
        <f>IFERROR(ROUNDDOWN(ROUND(AM5*Q50,0)*P5,0)*H53,"")</f>
        <v/>
      </c>
      <c r="R51" s="1048"/>
      <c r="S51" s="1048"/>
      <c r="T51" s="1048"/>
      <c r="U51" s="149" t="s">
        <v>2288</v>
      </c>
      <c r="V51" s="1058">
        <f>IFERROR(SUM(G51,L51,Q51),"")</f>
        <v>0</v>
      </c>
      <c r="W51" s="1059"/>
      <c r="X51" s="1059"/>
      <c r="Y51" s="1059"/>
      <c r="Z51" s="150" t="s">
        <v>2288</v>
      </c>
      <c r="AB51" s="151"/>
      <c r="AC51" s="1051" t="str">
        <f>IFERROR(ROUNDDOWN(ROUND(AM5*AC50,0)*P5,0)*AD53,"")</f>
        <v/>
      </c>
      <c r="AD51" s="1048"/>
      <c r="AE51" s="1048"/>
      <c r="AF51" s="1048"/>
      <c r="AG51" s="1048"/>
      <c r="AH51" s="149" t="s">
        <v>2288</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2419</v>
      </c>
      <c r="AT56" s="1169"/>
      <c r="AU56" s="1169"/>
      <c r="AV56" s="1169"/>
      <c r="AW56" s="1169" t="s">
        <v>2418</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2"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2"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00000000-0002-0000-0900-000000000000}">
      <formula1>サービス名</formula1>
    </dataValidation>
    <dataValidation type="list" allowBlank="1" showInputMessage="1" showErrorMessage="1" sqref="M5:O5" xr:uid="{00000000-0002-0000-0900-000001000000}">
      <formula1>INDIRECT(J5)</formula1>
    </dataValidation>
    <dataValidation type="list" allowBlank="1" showInputMessage="1" showErrorMessage="1" sqref="M15:M16" xr:uid="{00000000-0002-0000-0900-000002000000}">
      <formula1>"1,2,3,6,7,8,9,10,11,12"</formula1>
    </dataValidation>
    <dataValidation type="list" allowBlank="1" showInputMessage="1" showErrorMessage="1" sqref="K15:K16 D15:D16" xr:uid="{00000000-0002-0000-09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900-000004000000}">
      <formula1>10</formula1>
    </dataValidation>
    <dataValidation type="list" allowBlank="1" showInputMessage="1" showErrorMessage="1" sqref="AD41:AH41" xr:uid="{00000000-0002-0000-0900-000005000000}">
      <formula1>INDIRECT(BF1)</formula1>
    </dataValidation>
    <dataValidation type="list" allowBlank="1" showInputMessage="1" showErrorMessage="1" sqref="AL41:AP41" xr:uid="{00000000-0002-0000-0900-000006000000}">
      <formula1>INDIRECT(BF1)</formula1>
    </dataValidation>
    <dataValidation type="whole" operator="greaterThanOrEqual" allowBlank="1" showInputMessage="1" showErrorMessage="1" prompt="要件を満たす職員数を記入してください。" sqref="AG37:AH37 AO37:AP37" xr:uid="{00000000-0002-0000-0900-000007000000}">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900-000008000000}">
          <x14:formula1>
            <xm:f>【参考】数式用3!$A$3:$A$49</xm:f>
          </x14:formula1>
          <xm:sqref>J5:L5</xm:sqref>
        </x14:dataValidation>
        <x14:dataValidation type="list" allowBlank="1" showInputMessage="1" showErrorMessage="1" xr:uid="{00000000-0002-0000-0900-000009000000}">
          <x14:formula1>
            <xm:f>【参考】数式用!$I$4:$J$4</xm:f>
          </x14:formula1>
          <xm:sqref>L9</xm:sqref>
        </x14:dataValidation>
        <x14:dataValidation type="list" allowBlank="1" showInputMessage="1" showErrorMessage="1" xr:uid="{00000000-0002-0000-0900-00000A000000}">
          <x14:formula1>
            <xm:f>【参考】数式用!$F$4:$H$4</xm:f>
          </x14:formula1>
          <xm:sqref>G9</xm:sqref>
        </x14:dataValidation>
        <x14:dataValidation type="list" allowBlank="1" showInputMessage="1" showErrorMessage="1" xr:uid="{00000000-0002-0000-0900-00000B000000}">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2291</v>
      </c>
      <c r="M1" s="173"/>
      <c r="N1" s="1147" t="s">
        <v>2429</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2389</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176"/>
      <c r="AR2" s="176"/>
      <c r="CE2" s="987" t="s">
        <v>2392</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7" t="s">
        <v>2386</v>
      </c>
      <c r="CF3" s="987"/>
      <c r="CG3" s="987"/>
      <c r="CH3" s="987"/>
      <c r="CI3" s="993" t="str">
        <f>IF(AND(L9="ベア加算",Q49="ベア加算"),1,"")</f>
        <v/>
      </c>
      <c r="CJ3" s="994"/>
    </row>
    <row r="4" spans="1:88" ht="25.5" customHeight="1">
      <c r="B4" s="1125" t="s">
        <v>2292</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2391</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2385</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2388</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2387</v>
      </c>
      <c r="CF7" s="1009"/>
      <c r="CG7" s="1009"/>
      <c r="CH7" s="1009"/>
      <c r="CI7" s="995" t="str">
        <f>IF(AND(AH62=1,AD41=""),1,"")</f>
        <v/>
      </c>
      <c r="CJ7" s="996"/>
    </row>
    <row r="8" spans="1:88" ht="17.25" customHeight="1" thickBot="1">
      <c r="B8" s="1110" t="s">
        <v>2327</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2387</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2387</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2390</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2287</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202"/>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2281</v>
      </c>
      <c r="C15" s="1075"/>
      <c r="D15" s="147">
        <v>6</v>
      </c>
      <c r="E15" s="203" t="s">
        <v>2282</v>
      </c>
      <c r="F15" s="147">
        <v>4</v>
      </c>
      <c r="G15" s="203" t="s">
        <v>2283</v>
      </c>
      <c r="H15" s="1076" t="s">
        <v>2284</v>
      </c>
      <c r="I15" s="1076"/>
      <c r="J15" s="1089"/>
      <c r="K15" s="147">
        <v>7</v>
      </c>
      <c r="L15" s="203" t="s">
        <v>2282</v>
      </c>
      <c r="M15" s="147">
        <v>3</v>
      </c>
      <c r="N15" s="203" t="s">
        <v>2283</v>
      </c>
      <c r="O15" s="203" t="s">
        <v>2285</v>
      </c>
      <c r="P15" s="204">
        <f>(K15*12+M15)-(D15*12+F15)+1</f>
        <v>12</v>
      </c>
      <c r="Q15" s="1076" t="s">
        <v>2286</v>
      </c>
      <c r="R15" s="1076"/>
      <c r="S15" s="205" t="s">
        <v>74</v>
      </c>
      <c r="U15" s="202"/>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2294</v>
      </c>
      <c r="C21" s="1092"/>
      <c r="D21" s="1092"/>
      <c r="E21" s="1092"/>
      <c r="F21" s="1093"/>
      <c r="G21" s="1131" t="s">
        <v>245</v>
      </c>
      <c r="H21" s="1132"/>
      <c r="I21" s="1132"/>
      <c r="J21" s="1132"/>
      <c r="K21" s="1132"/>
      <c r="L21" s="1132"/>
      <c r="M21" s="1132"/>
      <c r="N21" s="1132"/>
      <c r="O21" s="1132"/>
      <c r="P21" s="1132"/>
      <c r="Q21" s="1132"/>
      <c r="R21" s="1132"/>
      <c r="S21" s="1132"/>
      <c r="T21" s="1133"/>
      <c r="U21" s="218"/>
      <c r="V21" s="219"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219"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219"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219"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219"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219"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219"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2368</v>
      </c>
      <c r="AD37" s="1179"/>
      <c r="AE37" s="1179"/>
      <c r="AF37" s="1179"/>
      <c r="AG37" s="1180"/>
      <c r="AH37" s="1181"/>
      <c r="AI37" s="1041"/>
      <c r="AJ37" s="1042"/>
      <c r="AK37" s="1178" t="s">
        <v>2368</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2316</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8" ht="17.25" customHeight="1">
      <c r="B51" s="1022" t="s">
        <v>2293</v>
      </c>
      <c r="C51" s="1023"/>
      <c r="D51" s="1023"/>
      <c r="E51" s="1023"/>
      <c r="F51" s="1024"/>
      <c r="G51" s="1048" t="str">
        <f>IFERROR(ROUNDDOWN(ROUND(AM5*G50,0)*P5,0)*H53,"")</f>
        <v/>
      </c>
      <c r="H51" s="1048"/>
      <c r="I51" s="1048"/>
      <c r="J51" s="1048"/>
      <c r="K51" s="148" t="s">
        <v>2288</v>
      </c>
      <c r="L51" s="1051" t="str">
        <f>IFERROR(ROUNDDOWN(ROUND(AM5*L50,0)*P5,0)*H53,"")</f>
        <v/>
      </c>
      <c r="M51" s="1048"/>
      <c r="N51" s="1048"/>
      <c r="O51" s="1048"/>
      <c r="P51" s="148" t="s">
        <v>2288</v>
      </c>
      <c r="Q51" s="1051" t="str">
        <f>IFERROR(ROUNDDOWN(ROUND(AM5*Q50,0)*P5,0)*H53,"")</f>
        <v/>
      </c>
      <c r="R51" s="1048"/>
      <c r="S51" s="1048"/>
      <c r="T51" s="1048"/>
      <c r="U51" s="149" t="s">
        <v>2288</v>
      </c>
      <c r="V51" s="1058">
        <f>IFERROR(SUM(G51,L51,Q51),"")</f>
        <v>0</v>
      </c>
      <c r="W51" s="1059"/>
      <c r="X51" s="1059"/>
      <c r="Y51" s="1059"/>
      <c r="Z51" s="150" t="s">
        <v>2288</v>
      </c>
      <c r="AB51" s="151"/>
      <c r="AC51" s="1051" t="str">
        <f>IFERROR(ROUNDDOWN(ROUND(AM5*AC50,0)*P5,0)*AD53,"")</f>
        <v/>
      </c>
      <c r="AD51" s="1048"/>
      <c r="AE51" s="1048"/>
      <c r="AF51" s="1048"/>
      <c r="AG51" s="1048"/>
      <c r="AH51" s="149" t="s">
        <v>2288</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8"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2419</v>
      </c>
      <c r="AT56" s="1169"/>
      <c r="AU56" s="1169"/>
      <c r="AV56" s="1169"/>
      <c r="AW56" s="1169" t="s">
        <v>2418</v>
      </c>
      <c r="AX56" s="1169"/>
      <c r="AY56" s="1169"/>
      <c r="AZ56" s="1169"/>
    </row>
    <row r="57" spans="2:88" ht="15.95" customHeight="1">
      <c r="U57" s="1012" t="s">
        <v>2203</v>
      </c>
      <c r="V57" s="1012"/>
      <c r="W57" s="1012"/>
      <c r="X57" s="1012"/>
      <c r="Y57" s="1012"/>
      <c r="Z57" s="532"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24" t="s">
        <v>2204</v>
      </c>
      <c r="V58" s="1124"/>
      <c r="W58" s="1124"/>
      <c r="X58" s="1124"/>
      <c r="Y58" s="1124"/>
      <c r="Z58" s="532"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8" ht="15.95" customHeight="1">
      <c r="U59" s="1124" t="s">
        <v>2205</v>
      </c>
      <c r="V59" s="1124"/>
      <c r="W59" s="1124"/>
      <c r="X59" s="1124"/>
      <c r="Y59" s="1124"/>
      <c r="Z59" s="532"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8" ht="15.95" customHeight="1">
      <c r="U60" s="1124" t="s">
        <v>2206</v>
      </c>
      <c r="V60" s="1124"/>
      <c r="W60" s="1124"/>
      <c r="X60" s="1124"/>
      <c r="Y60" s="1124"/>
      <c r="Z60" s="532"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24" t="s">
        <v>2207</v>
      </c>
      <c r="V61" s="1124"/>
      <c r="W61" s="1124"/>
      <c r="X61" s="1124"/>
      <c r="Y61" s="1124"/>
      <c r="Z61" s="532"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24" t="s">
        <v>2208</v>
      </c>
      <c r="V62" s="1124"/>
      <c r="W62" s="1124"/>
      <c r="X62" s="1124"/>
      <c r="Y62" s="1124"/>
      <c r="Z62" s="532"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2" t="s">
        <v>2209</v>
      </c>
      <c r="V63" s="1012"/>
      <c r="W63" s="1012"/>
      <c r="X63" s="1012"/>
      <c r="Y63" s="1012"/>
      <c r="Z63" s="532"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00000000-0002-0000-0A00-000000000000}">
      <formula1>サービス名</formula1>
    </dataValidation>
    <dataValidation type="list" allowBlank="1" showInputMessage="1" showErrorMessage="1" sqref="M5:O5" xr:uid="{00000000-0002-0000-0A00-000001000000}">
      <formula1>INDIRECT(J5)</formula1>
    </dataValidation>
    <dataValidation type="list" allowBlank="1" showInputMessage="1" showErrorMessage="1" sqref="M15:M16" xr:uid="{00000000-0002-0000-0A00-000002000000}">
      <formula1>"1,2,3,6,7,8,9,10,11,12"</formula1>
    </dataValidation>
    <dataValidation type="list" allowBlank="1" showInputMessage="1" showErrorMessage="1" sqref="K15:K16 D15:D16" xr:uid="{00000000-0002-0000-0A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A00-000004000000}">
      <formula1>10</formula1>
    </dataValidation>
    <dataValidation type="list" allowBlank="1" showInputMessage="1" showErrorMessage="1" sqref="AD41:AH41" xr:uid="{00000000-0002-0000-0A00-000005000000}">
      <formula1>INDIRECT(BF1)</formula1>
    </dataValidation>
    <dataValidation type="list" allowBlank="1" showInputMessage="1" showErrorMessage="1" sqref="AL41:AP41" xr:uid="{00000000-0002-0000-0A00-000006000000}">
      <formula1>INDIRECT(BF1)</formula1>
    </dataValidation>
    <dataValidation type="whole" operator="greaterThanOrEqual" allowBlank="1" showInputMessage="1" showErrorMessage="1" prompt="要件を満たす職員数を記入してください。" sqref="AG37:AH37 AO37:AP37" xr:uid="{00000000-0002-0000-0A00-000007000000}">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8000000}">
          <x14:formula1>
            <xm:f>【参考】数式用3!$A$3:$A$49</xm:f>
          </x14:formula1>
          <xm:sqref>J5:L5</xm:sqref>
        </x14:dataValidation>
        <x14:dataValidation type="list" allowBlank="1" showInputMessage="1" showErrorMessage="1" xr:uid="{00000000-0002-0000-0A00-000009000000}">
          <x14:formula1>
            <xm:f>【参考】数式用!$I$4:$J$4</xm:f>
          </x14:formula1>
          <xm:sqref>L9</xm:sqref>
        </x14:dataValidation>
        <x14:dataValidation type="list" allowBlank="1" showInputMessage="1" showErrorMessage="1" xr:uid="{00000000-0002-0000-0A00-00000A000000}">
          <x14:formula1>
            <xm:f>【参考】数式用!$F$4:$H$4</xm:f>
          </x14:formula1>
          <xm:sqref>G9</xm:sqref>
        </x14:dataValidation>
        <x14:dataValidation type="list" allowBlank="1" showInputMessage="1" showErrorMessage="1" xr:uid="{00000000-0002-0000-0A00-00000B000000}">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2280</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2268</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2269</v>
      </c>
      <c r="AG5" s="28" t="s">
        <v>2270</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2271</v>
      </c>
      <c r="AG6" s="30" t="s">
        <v>2272</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2271</v>
      </c>
      <c r="AG7" s="30" t="s">
        <v>2272</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2271</v>
      </c>
      <c r="AG8" s="30" t="s">
        <v>2272</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2271</v>
      </c>
      <c r="AG9" s="30" t="s">
        <v>2272</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2271</v>
      </c>
      <c r="AG10" s="30" t="s">
        <v>2272</v>
      </c>
      <c r="AH10" s="32" t="s">
        <v>2273</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2271</v>
      </c>
      <c r="AG11" s="30" t="s">
        <v>2272</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2271</v>
      </c>
      <c r="AG12" s="30" t="s">
        <v>2272</v>
      </c>
      <c r="AH12" s="32" t="s">
        <v>2274</v>
      </c>
      <c r="AJ12" s="13" t="s">
        <v>292</v>
      </c>
      <c r="AK12" s="14" t="s">
        <v>293</v>
      </c>
      <c r="AS12" s="165" t="s">
        <v>287</v>
      </c>
      <c r="AT12" s="168" t="s">
        <v>2397</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2271</v>
      </c>
      <c r="AG13" s="30" t="s">
        <v>2272</v>
      </c>
      <c r="AH13" s="32" t="s">
        <v>2274</v>
      </c>
      <c r="AJ13" s="13" t="s">
        <v>294</v>
      </c>
      <c r="AK13" s="14" t="s">
        <v>294</v>
      </c>
      <c r="AS13" s="165" t="s">
        <v>289</v>
      </c>
      <c r="AT13" s="168" t="s">
        <v>2397</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2271</v>
      </c>
      <c r="AG14" s="30" t="s">
        <v>2272</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2271</v>
      </c>
      <c r="AG15" s="30" t="s">
        <v>2272</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2271</v>
      </c>
      <c r="AG16" s="30" t="s">
        <v>2272</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2271</v>
      </c>
      <c r="AG17" s="30" t="s">
        <v>2272</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2271</v>
      </c>
      <c r="AG18" s="30" t="s">
        <v>2272</v>
      </c>
      <c r="AH18" s="32" t="s">
        <v>2275</v>
      </c>
      <c r="AJ18" s="13" t="s">
        <v>301</v>
      </c>
      <c r="AK18" s="14" t="s">
        <v>301</v>
      </c>
      <c r="AS18" s="165" t="s">
        <v>297</v>
      </c>
      <c r="AT18" s="168" t="s">
        <v>2397</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2271</v>
      </c>
      <c r="AG19" s="30" t="s">
        <v>2272</v>
      </c>
      <c r="AH19" s="32" t="s">
        <v>2275</v>
      </c>
      <c r="AJ19" s="13" t="s">
        <v>302</v>
      </c>
      <c r="AK19" s="14" t="s">
        <v>303</v>
      </c>
      <c r="AS19" s="165" t="s">
        <v>298</v>
      </c>
      <c r="AT19" s="168" t="s">
        <v>2397</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2271</v>
      </c>
      <c r="AG20" s="30" t="s">
        <v>2272</v>
      </c>
      <c r="AH20" s="45" t="s">
        <v>2364</v>
      </c>
      <c r="AJ20" s="13" t="s">
        <v>304</v>
      </c>
      <c r="AK20" s="14" t="s">
        <v>305</v>
      </c>
      <c r="AS20" s="165" t="s">
        <v>299</v>
      </c>
      <c r="AT20" s="168" t="s">
        <v>2395</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2271</v>
      </c>
      <c r="AG21" s="30" t="s">
        <v>2272</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2271</v>
      </c>
      <c r="AG22" s="30" t="s">
        <v>2272</v>
      </c>
      <c r="AH22" s="45" t="s">
        <v>2364</v>
      </c>
      <c r="AJ22" s="40" t="s">
        <v>307</v>
      </c>
      <c r="AK22" s="41" t="s">
        <v>308</v>
      </c>
      <c r="AS22" s="165" t="s">
        <v>302</v>
      </c>
      <c r="AT22" s="168" t="s">
        <v>2398</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2271</v>
      </c>
      <c r="AG23" s="30" t="s">
        <v>2272</v>
      </c>
      <c r="AH23" s="32"/>
      <c r="AJ23" s="9" t="s">
        <v>309</v>
      </c>
      <c r="AK23" s="10" t="s">
        <v>310</v>
      </c>
      <c r="AS23" s="165" t="s">
        <v>304</v>
      </c>
      <c r="AT23" s="168" t="s">
        <v>2398</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2271</v>
      </c>
      <c r="AG24" s="30" t="s">
        <v>2272</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2271</v>
      </c>
      <c r="AG25" s="139" t="s">
        <v>2272</v>
      </c>
      <c r="AH25" s="45" t="s">
        <v>2364</v>
      </c>
      <c r="AS25" s="165" t="s">
        <v>307</v>
      </c>
      <c r="AT25" s="168" t="s">
        <v>2398</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2365</v>
      </c>
      <c r="AG26" s="140" t="s">
        <v>2366</v>
      </c>
      <c r="AH26" s="143"/>
      <c r="AS26" s="165" t="s">
        <v>309</v>
      </c>
      <c r="AT26" s="168" t="s">
        <v>2399</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2276</v>
      </c>
      <c r="AG27" s="64" t="s">
        <v>2277</v>
      </c>
      <c r="AH27" s="146" t="s">
        <v>2367</v>
      </c>
      <c r="AS27" s="166" t="s">
        <v>311</v>
      </c>
      <c r="AT27" s="169" t="s">
        <v>2396</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2278</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2279</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00000000-0002-0000-0B00-000000000000}">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2319</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2295</v>
      </c>
      <c r="I7" s="109" t="s">
        <v>2171</v>
      </c>
      <c r="J7" s="111" t="s">
        <v>2298</v>
      </c>
      <c r="K7" s="113"/>
      <c r="L7" s="114"/>
      <c r="M7" s="159" t="s">
        <v>2323</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2411</v>
      </c>
      <c r="I8" s="109" t="s">
        <v>2172</v>
      </c>
      <c r="J8" s="115" t="s">
        <v>2300</v>
      </c>
      <c r="K8" s="161"/>
      <c r="L8" s="158"/>
      <c r="M8" s="160" t="s">
        <v>2169</v>
      </c>
      <c r="N8" s="159" t="s">
        <v>2169</v>
      </c>
      <c r="O8" s="159" t="s">
        <v>2169</v>
      </c>
      <c r="P8" s="159" t="s">
        <v>2322</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2410</v>
      </c>
      <c r="I9" s="109" t="s">
        <v>2171</v>
      </c>
      <c r="J9" s="116" t="s">
        <v>2409</v>
      </c>
      <c r="K9" s="117" t="s">
        <v>2175</v>
      </c>
      <c r="L9" s="118" t="s">
        <v>2315</v>
      </c>
      <c r="M9" s="159" t="s">
        <v>2323</v>
      </c>
      <c r="N9" s="159" t="s">
        <v>2169</v>
      </c>
      <c r="O9" s="159" t="s">
        <v>2169</v>
      </c>
      <c r="P9" s="159" t="s">
        <v>2322</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2412</v>
      </c>
      <c r="I10" s="109" t="s">
        <v>2177</v>
      </c>
      <c r="J10" s="115" t="s">
        <v>2301</v>
      </c>
      <c r="K10" s="161"/>
      <c r="L10" s="158"/>
      <c r="M10" s="160" t="s">
        <v>2169</v>
      </c>
      <c r="N10" s="159" t="s">
        <v>2324</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2408</v>
      </c>
      <c r="I11" s="109" t="s">
        <v>2171</v>
      </c>
      <c r="J11" s="116" t="s">
        <v>2407</v>
      </c>
      <c r="K11" s="117" t="s">
        <v>2180</v>
      </c>
      <c r="L11" s="153" t="s">
        <v>2302</v>
      </c>
      <c r="M11" s="159" t="s">
        <v>2323</v>
      </c>
      <c r="N11" s="159" t="s">
        <v>2324</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2318</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2266</v>
      </c>
      <c r="G13" s="109" t="s">
        <v>2213</v>
      </c>
      <c r="H13" s="110" t="s">
        <v>2296</v>
      </c>
      <c r="I13" s="109" t="s">
        <v>2173</v>
      </c>
      <c r="J13" s="154" t="s">
        <v>2299</v>
      </c>
      <c r="K13" s="117"/>
      <c r="L13" s="118"/>
      <c r="M13" s="159" t="s">
        <v>2323</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2413</v>
      </c>
      <c r="I14" s="109" t="s">
        <v>2174</v>
      </c>
      <c r="J14" s="115" t="s">
        <v>2303</v>
      </c>
      <c r="K14" s="161"/>
      <c r="L14" s="158"/>
      <c r="M14" s="159" t="s">
        <v>2169</v>
      </c>
      <c r="N14" s="159" t="s">
        <v>2169</v>
      </c>
      <c r="O14" s="159" t="s">
        <v>2169</v>
      </c>
      <c r="P14" s="159" t="s">
        <v>2322</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2404</v>
      </c>
      <c r="I15" s="109" t="s">
        <v>2173</v>
      </c>
      <c r="J15" s="116" t="s">
        <v>2403</v>
      </c>
      <c r="K15" s="117" t="s">
        <v>2176</v>
      </c>
      <c r="L15" s="118" t="s">
        <v>2304</v>
      </c>
      <c r="M15" s="159" t="s">
        <v>2323</v>
      </c>
      <c r="N15" s="159" t="s">
        <v>2169</v>
      </c>
      <c r="O15" s="159" t="s">
        <v>2169</v>
      </c>
      <c r="P15" s="159" t="s">
        <v>2322</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2414</v>
      </c>
      <c r="I16" s="109" t="s">
        <v>2179</v>
      </c>
      <c r="J16" s="154" t="s">
        <v>2306</v>
      </c>
      <c r="K16" s="161"/>
      <c r="L16" s="158"/>
      <c r="M16" s="160" t="s">
        <v>2169</v>
      </c>
      <c r="N16" s="159" t="s">
        <v>2324</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2405</v>
      </c>
      <c r="I17" s="109" t="s">
        <v>2179</v>
      </c>
      <c r="J17" s="111" t="s">
        <v>2402</v>
      </c>
      <c r="K17" s="119" t="s">
        <v>2182</v>
      </c>
      <c r="L17" s="155" t="s">
        <v>2305</v>
      </c>
      <c r="M17" s="159" t="s">
        <v>2323</v>
      </c>
      <c r="N17" s="159" t="s">
        <v>2324</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2307</v>
      </c>
      <c r="I18" s="123" t="s">
        <v>2214</v>
      </c>
      <c r="J18" s="110" t="s">
        <v>2308</v>
      </c>
      <c r="K18" s="109"/>
      <c r="L18" s="112"/>
      <c r="M18" s="160" t="s">
        <v>2169</v>
      </c>
      <c r="N18" s="159" t="s">
        <v>2169</v>
      </c>
      <c r="O18" s="159" t="s">
        <v>2169</v>
      </c>
      <c r="P18" s="159" t="s">
        <v>2169</v>
      </c>
      <c r="Q18" s="159" t="s">
        <v>2325</v>
      </c>
      <c r="R18" s="159" t="s">
        <v>2169</v>
      </c>
      <c r="S18" s="159" t="s">
        <v>2326</v>
      </c>
    </row>
    <row r="19" spans="2:19" ht="48" customHeight="1">
      <c r="B19" s="94" t="s">
        <v>9</v>
      </c>
      <c r="C19" s="107" t="s">
        <v>13</v>
      </c>
      <c r="D19" s="108" t="s">
        <v>11</v>
      </c>
      <c r="E19" s="108" t="str">
        <f t="shared" si="0"/>
        <v>処遇加算Ⅰ特定加算なしベア加算なし</v>
      </c>
      <c r="F19" s="121" t="s">
        <v>2267</v>
      </c>
      <c r="G19" s="117" t="s">
        <v>2213</v>
      </c>
      <c r="H19" s="124" t="s">
        <v>2297</v>
      </c>
      <c r="I19" s="123" t="s">
        <v>2214</v>
      </c>
      <c r="J19" s="110" t="s">
        <v>2312</v>
      </c>
      <c r="K19" s="109" t="s">
        <v>2178</v>
      </c>
      <c r="L19" s="111" t="s">
        <v>2309</v>
      </c>
      <c r="M19" s="159" t="s">
        <v>2323</v>
      </c>
      <c r="N19" s="159" t="s">
        <v>2169</v>
      </c>
      <c r="O19" s="159" t="s">
        <v>2169</v>
      </c>
      <c r="P19" s="159" t="s">
        <v>2169</v>
      </c>
      <c r="Q19" s="159" t="s">
        <v>2325</v>
      </c>
      <c r="R19" s="159" t="s">
        <v>2169</v>
      </c>
      <c r="S19" s="159" t="s">
        <v>2326</v>
      </c>
    </row>
    <row r="20" spans="2:19" ht="48" customHeight="1">
      <c r="B20" s="94" t="s">
        <v>267</v>
      </c>
      <c r="C20" s="107" t="s">
        <v>13</v>
      </c>
      <c r="D20" s="108" t="s">
        <v>15</v>
      </c>
      <c r="E20" s="108" t="str">
        <f t="shared" si="0"/>
        <v>処遇加算Ⅱ特定加算なしベア加算</v>
      </c>
      <c r="F20" s="109" t="s">
        <v>276</v>
      </c>
      <c r="G20" s="119" t="s">
        <v>272</v>
      </c>
      <c r="H20" s="120" t="s">
        <v>2310</v>
      </c>
      <c r="I20" s="123" t="s">
        <v>2214</v>
      </c>
      <c r="J20" s="156" t="s">
        <v>2415</v>
      </c>
      <c r="K20" s="109" t="s">
        <v>276</v>
      </c>
      <c r="L20" s="110" t="s">
        <v>2321</v>
      </c>
      <c r="M20" s="160" t="s">
        <v>2169</v>
      </c>
      <c r="N20" s="159" t="s">
        <v>2169</v>
      </c>
      <c r="O20" s="159" t="s">
        <v>2169</v>
      </c>
      <c r="P20" s="159" t="s">
        <v>2169</v>
      </c>
      <c r="Q20" s="159" t="s">
        <v>2325</v>
      </c>
      <c r="R20" s="159" t="s">
        <v>2169</v>
      </c>
      <c r="S20" s="159" t="s">
        <v>2326</v>
      </c>
    </row>
    <row r="21" spans="2:19" ht="48" customHeight="1">
      <c r="B21" s="94" t="s">
        <v>267</v>
      </c>
      <c r="C21" s="107" t="s">
        <v>13</v>
      </c>
      <c r="D21" s="108" t="s">
        <v>11</v>
      </c>
      <c r="E21" s="108" t="str">
        <f t="shared" si="0"/>
        <v>処遇加算Ⅱ特定加算なしベア加算なし</v>
      </c>
      <c r="F21" s="109" t="s">
        <v>2181</v>
      </c>
      <c r="G21" s="109" t="s">
        <v>274</v>
      </c>
      <c r="H21" s="110" t="s">
        <v>2400</v>
      </c>
      <c r="I21" s="109" t="s">
        <v>276</v>
      </c>
      <c r="J21" s="156" t="s">
        <v>2320</v>
      </c>
      <c r="K21" s="109" t="s">
        <v>2181</v>
      </c>
      <c r="L21" s="157" t="s">
        <v>2311</v>
      </c>
      <c r="M21" s="159" t="s">
        <v>2323</v>
      </c>
      <c r="N21" s="159" t="s">
        <v>2169</v>
      </c>
      <c r="O21" s="159" t="s">
        <v>2169</v>
      </c>
      <c r="P21" s="159" t="s">
        <v>2169</v>
      </c>
      <c r="Q21" s="159" t="s">
        <v>2325</v>
      </c>
      <c r="R21" s="159" t="s">
        <v>2169</v>
      </c>
      <c r="S21" s="159" t="s">
        <v>2326</v>
      </c>
    </row>
    <row r="22" spans="2:19" ht="48" customHeight="1">
      <c r="B22" s="94" t="s">
        <v>268</v>
      </c>
      <c r="C22" s="107" t="s">
        <v>13</v>
      </c>
      <c r="D22" s="108" t="s">
        <v>15</v>
      </c>
      <c r="E22" s="108" t="str">
        <f t="shared" si="0"/>
        <v>処遇加算Ⅲ特定加算なしベア加算</v>
      </c>
      <c r="F22" s="109" t="s">
        <v>2183</v>
      </c>
      <c r="G22" s="109" t="s">
        <v>274</v>
      </c>
      <c r="H22" s="110" t="s">
        <v>2417</v>
      </c>
      <c r="I22" s="109" t="s">
        <v>276</v>
      </c>
      <c r="J22" s="156" t="s">
        <v>2416</v>
      </c>
      <c r="K22" s="109" t="s">
        <v>2183</v>
      </c>
      <c r="L22" s="112" t="s">
        <v>2313</v>
      </c>
      <c r="M22" s="159" t="s">
        <v>2169</v>
      </c>
      <c r="N22" s="159" t="s">
        <v>2324</v>
      </c>
      <c r="O22" s="159" t="s">
        <v>2256</v>
      </c>
      <c r="P22" s="159" t="s">
        <v>2169</v>
      </c>
      <c r="Q22" s="159" t="s">
        <v>2325</v>
      </c>
      <c r="R22" s="159" t="s">
        <v>2169</v>
      </c>
      <c r="S22" s="159" t="s">
        <v>2326</v>
      </c>
    </row>
    <row r="23" spans="2:19" ht="48" customHeight="1">
      <c r="B23" s="94" t="s">
        <v>268</v>
      </c>
      <c r="C23" s="107" t="s">
        <v>13</v>
      </c>
      <c r="D23" s="108" t="s">
        <v>11</v>
      </c>
      <c r="E23" s="108" t="str">
        <f t="shared" si="0"/>
        <v>処遇加算Ⅲ特定加算なしベア加算なし</v>
      </c>
      <c r="F23" s="109" t="s">
        <v>2184</v>
      </c>
      <c r="G23" s="109" t="s">
        <v>276</v>
      </c>
      <c r="H23" s="110" t="s">
        <v>2406</v>
      </c>
      <c r="I23" s="109" t="s">
        <v>2181</v>
      </c>
      <c r="J23" s="111" t="s">
        <v>2401</v>
      </c>
      <c r="K23" s="109" t="s">
        <v>2184</v>
      </c>
      <c r="L23" s="112" t="s">
        <v>2314</v>
      </c>
      <c r="M23" s="159" t="s">
        <v>2323</v>
      </c>
      <c r="N23" s="159" t="s">
        <v>2324</v>
      </c>
      <c r="O23" s="159" t="s">
        <v>2256</v>
      </c>
      <c r="P23" s="159" t="s">
        <v>2169</v>
      </c>
      <c r="Q23" s="159" t="s">
        <v>2325</v>
      </c>
      <c r="R23" s="159" t="s">
        <v>2169</v>
      </c>
      <c r="S23" s="159" t="s">
        <v>2326</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00000000-0009-0000-0000-00000C000000}">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00000000-0002-0000-0D00-000000000000}">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芳賀 真理</dc:creator>
  <cp:lastModifiedBy>小久保　隆佳</cp:lastModifiedBy>
  <cp:lastPrinted>2024-03-11T13:42:51Z</cp:lastPrinted>
  <dcterms:created xsi:type="dcterms:W3CDTF">2015-06-05T18:19:34Z</dcterms:created>
  <dcterms:modified xsi:type="dcterms:W3CDTF">2024-03-26T01:13:58Z</dcterms:modified>
</cp:coreProperties>
</file>